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 activeTab="13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  <sheet name="HAZİRAN" sheetId="7" r:id="rId7"/>
    <sheet name="AĞUSTOS" sheetId="9" r:id="rId8"/>
    <sheet name="TEMMUZ" sheetId="8" r:id="rId9"/>
    <sheet name="EYLÜL" sheetId="10" r:id="rId10"/>
    <sheet name="EKİM" sheetId="11" r:id="rId11"/>
    <sheet name="KASIM" sheetId="12" r:id="rId12"/>
    <sheet name="ARALIK" sheetId="13" r:id="rId13"/>
    <sheet name="Sayfa2" sheetId="14" r:id="rId14"/>
  </sheets>
  <externalReferences>
    <externalReference r:id="rId15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2" i="14" l="1"/>
  <c r="E36" i="14"/>
  <c r="G22" i="14"/>
  <c r="F29" i="14"/>
  <c r="E3" i="2"/>
  <c r="E4" i="2"/>
  <c r="F22" i="14"/>
  <c r="J22" i="14"/>
  <c r="I22" i="14"/>
  <c r="H22" i="14"/>
  <c r="K23" i="14"/>
  <c r="K22" i="14"/>
  <c r="U17" i="14"/>
  <c r="J21" i="14" s="1"/>
  <c r="T17" i="14"/>
  <c r="I21" i="14" s="1"/>
  <c r="I23" i="14" s="1"/>
  <c r="S17" i="14"/>
  <c r="R17" i="14"/>
  <c r="Q17" i="14"/>
  <c r="F21" i="14" s="1"/>
  <c r="F23" i="14" s="1"/>
  <c r="N17" i="14"/>
  <c r="K17" i="14"/>
  <c r="H17" i="14"/>
  <c r="E17" i="14"/>
  <c r="B17" i="14"/>
  <c r="G21" i="14" l="1"/>
  <c r="G23" i="14" s="1"/>
  <c r="H21" i="14"/>
  <c r="H23" i="14" s="1"/>
  <c r="J23" i="14"/>
  <c r="J24" i="14" s="1"/>
  <c r="E21" i="14"/>
  <c r="E23" i="14" s="1"/>
  <c r="B24" i="13"/>
  <c r="F27" i="14" l="1"/>
  <c r="F30" i="14" s="1"/>
  <c r="F36" i="14"/>
  <c r="G36" i="14" s="1"/>
  <c r="G39" i="14" s="1"/>
  <c r="R51" i="13"/>
  <c r="R50" i="13" l="1"/>
  <c r="R49" i="13"/>
  <c r="R48" i="13" l="1"/>
  <c r="S47" i="13"/>
  <c r="R47" i="13"/>
  <c r="K24" i="13" l="1"/>
  <c r="S26" i="13"/>
  <c r="R26" i="13"/>
  <c r="U25" i="13"/>
  <c r="R25" i="13"/>
  <c r="Q25" i="13"/>
  <c r="N25" i="13"/>
  <c r="K25" i="13"/>
  <c r="H25" i="13"/>
  <c r="E25" i="13"/>
  <c r="B25" i="13"/>
  <c r="R24" i="13"/>
  <c r="N24" i="13"/>
  <c r="H24" i="13"/>
  <c r="E24" i="13"/>
  <c r="R45" i="13" l="1"/>
  <c r="R44" i="13"/>
  <c r="R46" i="13" l="1"/>
  <c r="R23" i="13" l="1"/>
  <c r="V34" i="13" l="1"/>
  <c r="U22" i="13" l="1"/>
  <c r="R22" i="13"/>
  <c r="N22" i="13"/>
  <c r="K22" i="13"/>
  <c r="H22" i="13"/>
  <c r="E22" i="13"/>
  <c r="B22" i="13"/>
  <c r="R21" i="13"/>
  <c r="R43" i="13" l="1"/>
  <c r="R42" i="13"/>
  <c r="R41" i="13"/>
  <c r="R40" i="13"/>
  <c r="R39" i="13"/>
  <c r="R20" i="13" l="1"/>
  <c r="U19" i="13"/>
  <c r="R19" i="13"/>
  <c r="Q19" i="13"/>
  <c r="N19" i="13"/>
  <c r="K19" i="13"/>
  <c r="H19" i="13"/>
  <c r="E19" i="13"/>
  <c r="B19" i="13"/>
  <c r="U17" i="13" l="1"/>
  <c r="R17" i="13"/>
  <c r="B17" i="13"/>
  <c r="E53" i="13" l="1"/>
  <c r="U53" i="13"/>
  <c r="T53" i="13"/>
  <c r="S53" i="13"/>
  <c r="N53" i="13"/>
  <c r="K53" i="13"/>
  <c r="H53" i="13"/>
  <c r="O50" i="13"/>
  <c r="P50" i="13" s="1"/>
  <c r="O51" i="13"/>
  <c r="P51" i="13"/>
  <c r="O52" i="13"/>
  <c r="P52" i="13" s="1"/>
  <c r="L50" i="13"/>
  <c r="M50" i="13" s="1"/>
  <c r="L51" i="13"/>
  <c r="M51" i="13" s="1"/>
  <c r="L52" i="13"/>
  <c r="M52" i="13" s="1"/>
  <c r="I50" i="13"/>
  <c r="J50" i="13" s="1"/>
  <c r="I51" i="13"/>
  <c r="J51" i="13" s="1"/>
  <c r="I52" i="13"/>
  <c r="J52" i="13"/>
  <c r="F50" i="13"/>
  <c r="G50" i="13" s="1"/>
  <c r="F51" i="13"/>
  <c r="G51" i="13"/>
  <c r="F52" i="13"/>
  <c r="G52" i="13" s="1"/>
  <c r="C50" i="13"/>
  <c r="D50" i="13" s="1"/>
  <c r="C51" i="13"/>
  <c r="D51" i="13" s="1"/>
  <c r="C52" i="13"/>
  <c r="D52" i="13" s="1"/>
  <c r="R38" i="13"/>
  <c r="Q38" i="13"/>
  <c r="Q53" i="13" s="1"/>
  <c r="R37" i="13"/>
  <c r="B37" i="13"/>
  <c r="C37" i="13" s="1"/>
  <c r="D37" i="13" s="1"/>
  <c r="R36" i="13"/>
  <c r="R35" i="13"/>
  <c r="R34" i="13"/>
  <c r="Q34" i="13"/>
  <c r="B34" i="13"/>
  <c r="O34" i="13"/>
  <c r="P34" i="13" s="1"/>
  <c r="L34" i="13"/>
  <c r="M34" i="13" s="1"/>
  <c r="I34" i="13"/>
  <c r="J34" i="13" s="1"/>
  <c r="F34" i="13"/>
  <c r="G34" i="13" s="1"/>
  <c r="C34" i="13"/>
  <c r="D34" i="13" s="1"/>
  <c r="O49" i="13"/>
  <c r="P49" i="13" s="1"/>
  <c r="L49" i="13"/>
  <c r="M49" i="13" s="1"/>
  <c r="I49" i="13"/>
  <c r="J49" i="13" s="1"/>
  <c r="F49" i="13"/>
  <c r="G49" i="13" s="1"/>
  <c r="C49" i="13"/>
  <c r="D49" i="13" s="1"/>
  <c r="O48" i="13"/>
  <c r="P48" i="13" s="1"/>
  <c r="L48" i="13"/>
  <c r="M48" i="13" s="1"/>
  <c r="I48" i="13"/>
  <c r="J48" i="13" s="1"/>
  <c r="F48" i="13"/>
  <c r="G48" i="13" s="1"/>
  <c r="C48" i="13"/>
  <c r="D48" i="13" s="1"/>
  <c r="O47" i="13"/>
  <c r="P47" i="13" s="1"/>
  <c r="L47" i="13"/>
  <c r="M47" i="13" s="1"/>
  <c r="I47" i="13"/>
  <c r="J47" i="13" s="1"/>
  <c r="F47" i="13"/>
  <c r="G47" i="13" s="1"/>
  <c r="C47" i="13"/>
  <c r="D47" i="13" s="1"/>
  <c r="O46" i="13"/>
  <c r="P46" i="13" s="1"/>
  <c r="L46" i="13"/>
  <c r="M46" i="13" s="1"/>
  <c r="I46" i="13"/>
  <c r="J46" i="13" s="1"/>
  <c r="F46" i="13"/>
  <c r="G46" i="13" s="1"/>
  <c r="C46" i="13"/>
  <c r="D46" i="13" s="1"/>
  <c r="O45" i="13"/>
  <c r="P45" i="13" s="1"/>
  <c r="L45" i="13"/>
  <c r="M45" i="13" s="1"/>
  <c r="I45" i="13"/>
  <c r="J45" i="13" s="1"/>
  <c r="F45" i="13"/>
  <c r="G45" i="13" s="1"/>
  <c r="C45" i="13"/>
  <c r="D45" i="13" s="1"/>
  <c r="O44" i="13"/>
  <c r="P44" i="13" s="1"/>
  <c r="L44" i="13"/>
  <c r="M44" i="13" s="1"/>
  <c r="I44" i="13"/>
  <c r="J44" i="13" s="1"/>
  <c r="F44" i="13"/>
  <c r="G44" i="13" s="1"/>
  <c r="C44" i="13"/>
  <c r="D44" i="13" s="1"/>
  <c r="O43" i="13"/>
  <c r="P43" i="13" s="1"/>
  <c r="L43" i="13"/>
  <c r="M43" i="13" s="1"/>
  <c r="I43" i="13"/>
  <c r="J43" i="13" s="1"/>
  <c r="F43" i="13"/>
  <c r="G43" i="13" s="1"/>
  <c r="C43" i="13"/>
  <c r="D43" i="13" s="1"/>
  <c r="O42" i="13"/>
  <c r="P42" i="13" s="1"/>
  <c r="L42" i="13"/>
  <c r="M42" i="13" s="1"/>
  <c r="I42" i="13"/>
  <c r="J42" i="13" s="1"/>
  <c r="F42" i="13"/>
  <c r="G42" i="13" s="1"/>
  <c r="C42" i="13"/>
  <c r="D42" i="13" s="1"/>
  <c r="O41" i="13"/>
  <c r="P41" i="13" s="1"/>
  <c r="L41" i="13"/>
  <c r="M41" i="13" s="1"/>
  <c r="I41" i="13"/>
  <c r="J41" i="13" s="1"/>
  <c r="F41" i="13"/>
  <c r="G41" i="13" s="1"/>
  <c r="C41" i="13"/>
  <c r="D41" i="13" s="1"/>
  <c r="O40" i="13"/>
  <c r="P40" i="13" s="1"/>
  <c r="L40" i="13"/>
  <c r="M40" i="13" s="1"/>
  <c r="I40" i="13"/>
  <c r="J40" i="13" s="1"/>
  <c r="F40" i="13"/>
  <c r="G40" i="13" s="1"/>
  <c r="C40" i="13"/>
  <c r="D40" i="13" s="1"/>
  <c r="O39" i="13"/>
  <c r="P39" i="13" s="1"/>
  <c r="L39" i="13"/>
  <c r="M39" i="13" s="1"/>
  <c r="I39" i="13"/>
  <c r="J39" i="13" s="1"/>
  <c r="F39" i="13"/>
  <c r="G39" i="13" s="1"/>
  <c r="C39" i="13"/>
  <c r="D39" i="13" s="1"/>
  <c r="O38" i="13"/>
  <c r="P38" i="13" s="1"/>
  <c r="L38" i="13"/>
  <c r="M38" i="13" s="1"/>
  <c r="I38" i="13"/>
  <c r="J38" i="13" s="1"/>
  <c r="F38" i="13"/>
  <c r="G38" i="13" s="1"/>
  <c r="C38" i="13"/>
  <c r="D38" i="13" s="1"/>
  <c r="O37" i="13"/>
  <c r="P37" i="13" s="1"/>
  <c r="L37" i="13"/>
  <c r="M37" i="13" s="1"/>
  <c r="I37" i="13"/>
  <c r="J37" i="13" s="1"/>
  <c r="F37" i="13"/>
  <c r="G37" i="13" s="1"/>
  <c r="O36" i="13"/>
  <c r="P36" i="13" s="1"/>
  <c r="L36" i="13"/>
  <c r="M36" i="13" s="1"/>
  <c r="I36" i="13"/>
  <c r="J36" i="13" s="1"/>
  <c r="C36" i="13"/>
  <c r="D36" i="13" s="1"/>
  <c r="O35" i="13"/>
  <c r="P35" i="13" s="1"/>
  <c r="L35" i="13"/>
  <c r="M35" i="13" s="1"/>
  <c r="I35" i="13"/>
  <c r="J35" i="13" s="1"/>
  <c r="F35" i="13"/>
  <c r="G35" i="13" s="1"/>
  <c r="C35" i="13"/>
  <c r="D35" i="13" s="1"/>
  <c r="U16" i="13"/>
  <c r="R16" i="13"/>
  <c r="B16" i="13"/>
  <c r="U15" i="13"/>
  <c r="R15" i="13"/>
  <c r="K15" i="13"/>
  <c r="H15" i="13"/>
  <c r="E15" i="13"/>
  <c r="B15" i="13"/>
  <c r="B53" i="13" l="1"/>
  <c r="R53" i="13"/>
  <c r="F36" i="13"/>
  <c r="G36" i="13" s="1"/>
  <c r="R14" i="13"/>
  <c r="U13" i="13"/>
  <c r="S13" i="13"/>
  <c r="R13" i="13"/>
  <c r="Q13" i="13"/>
  <c r="N13" i="13"/>
  <c r="K13" i="13"/>
  <c r="H13" i="13"/>
  <c r="E13" i="13"/>
  <c r="B13" i="13"/>
  <c r="R12" i="13"/>
  <c r="Q12" i="13"/>
  <c r="N12" i="13"/>
  <c r="K12" i="13"/>
  <c r="H12" i="13"/>
  <c r="E12" i="13"/>
  <c r="B12" i="13"/>
  <c r="U11" i="13"/>
  <c r="R11" i="13"/>
  <c r="Q11" i="13"/>
  <c r="N11" i="13"/>
  <c r="K11" i="13"/>
  <c r="H11" i="13"/>
  <c r="E11" i="13"/>
  <c r="B11" i="13"/>
  <c r="R10" i="13" l="1"/>
  <c r="N10" i="13"/>
  <c r="K10" i="13"/>
  <c r="H10" i="13"/>
  <c r="E10" i="13"/>
  <c r="B10" i="13"/>
  <c r="U9" i="13"/>
  <c r="R9" i="13"/>
  <c r="Q9" i="13"/>
  <c r="N9" i="13"/>
  <c r="K9" i="13"/>
  <c r="H9" i="13"/>
  <c r="E9" i="13"/>
  <c r="B9" i="13"/>
  <c r="B8" i="13" l="1"/>
  <c r="S8" i="13"/>
  <c r="R8" i="13"/>
  <c r="Q8" i="13"/>
  <c r="N8" i="13"/>
  <c r="K8" i="13"/>
  <c r="H8" i="13"/>
  <c r="E8" i="13"/>
  <c r="U7" i="13"/>
  <c r="S7" i="13"/>
  <c r="R7" i="13"/>
  <c r="Q7" i="13"/>
  <c r="N7" i="13"/>
  <c r="K7" i="13"/>
  <c r="H7" i="13"/>
  <c r="E7" i="13"/>
  <c r="B7" i="13"/>
  <c r="U6" i="13"/>
  <c r="R6" i="13"/>
  <c r="Q6" i="13"/>
  <c r="N6" i="13"/>
  <c r="K6" i="13"/>
  <c r="H6" i="13"/>
  <c r="E6" i="13"/>
  <c r="B6" i="13"/>
  <c r="U5" i="13" l="1"/>
  <c r="R5" i="13"/>
  <c r="Q5" i="13"/>
  <c r="N5" i="13"/>
  <c r="K5" i="13"/>
  <c r="H5" i="13"/>
  <c r="E5" i="13"/>
  <c r="B5" i="13"/>
  <c r="R4" i="13" l="1"/>
  <c r="R29" i="13" s="1"/>
  <c r="Q4" i="13"/>
  <c r="Q29" i="13" s="1"/>
  <c r="N4" i="13"/>
  <c r="N29" i="13" s="1"/>
  <c r="O53" i="13" s="1"/>
  <c r="P53" i="13" s="1"/>
  <c r="K4" i="13"/>
  <c r="L4" i="13" s="1"/>
  <c r="M4" i="13" s="1"/>
  <c r="H4" i="13"/>
  <c r="H29" i="13" s="1"/>
  <c r="I53" i="13" s="1"/>
  <c r="J53" i="13" s="1"/>
  <c r="E4" i="13"/>
  <c r="E29" i="13" s="1"/>
  <c r="F53" i="13" s="1"/>
  <c r="G53" i="13" s="1"/>
  <c r="B4" i="13"/>
  <c r="S29" i="13"/>
  <c r="T29" i="13"/>
  <c r="U29" i="13"/>
  <c r="O28" i="13"/>
  <c r="P28" i="13" s="1"/>
  <c r="L28" i="13"/>
  <c r="M28" i="13" s="1"/>
  <c r="I28" i="13"/>
  <c r="J28" i="13" s="1"/>
  <c r="F28" i="13"/>
  <c r="G28" i="13" s="1"/>
  <c r="C28" i="13"/>
  <c r="D28" i="13" s="1"/>
  <c r="O27" i="13"/>
  <c r="P27" i="13" s="1"/>
  <c r="L27" i="13"/>
  <c r="M27" i="13" s="1"/>
  <c r="I27" i="13"/>
  <c r="J27" i="13" s="1"/>
  <c r="F27" i="13"/>
  <c r="G27" i="13" s="1"/>
  <c r="C27" i="13"/>
  <c r="D27" i="13" s="1"/>
  <c r="O26" i="13"/>
  <c r="P26" i="13" s="1"/>
  <c r="L26" i="13"/>
  <c r="M26" i="13" s="1"/>
  <c r="I26" i="13"/>
  <c r="J26" i="13" s="1"/>
  <c r="F26" i="13"/>
  <c r="G26" i="13" s="1"/>
  <c r="C26" i="13"/>
  <c r="D26" i="13" s="1"/>
  <c r="O25" i="13"/>
  <c r="P25" i="13" s="1"/>
  <c r="L25" i="13"/>
  <c r="M25" i="13" s="1"/>
  <c r="I25" i="13"/>
  <c r="J25" i="13" s="1"/>
  <c r="F25" i="13"/>
  <c r="G25" i="13" s="1"/>
  <c r="C25" i="13"/>
  <c r="D25" i="13" s="1"/>
  <c r="O24" i="13"/>
  <c r="P24" i="13" s="1"/>
  <c r="L24" i="13"/>
  <c r="M24" i="13" s="1"/>
  <c r="I24" i="13"/>
  <c r="J24" i="13" s="1"/>
  <c r="F24" i="13"/>
  <c r="G24" i="13" s="1"/>
  <c r="C24" i="13"/>
  <c r="D24" i="13" s="1"/>
  <c r="O23" i="13"/>
  <c r="P23" i="13" s="1"/>
  <c r="L23" i="13"/>
  <c r="M23" i="13" s="1"/>
  <c r="I23" i="13"/>
  <c r="J23" i="13" s="1"/>
  <c r="F23" i="13"/>
  <c r="G23" i="13" s="1"/>
  <c r="C23" i="13"/>
  <c r="D23" i="13" s="1"/>
  <c r="O22" i="13"/>
  <c r="P22" i="13" s="1"/>
  <c r="L22" i="13"/>
  <c r="M22" i="13" s="1"/>
  <c r="I22" i="13"/>
  <c r="J22" i="13" s="1"/>
  <c r="F22" i="13"/>
  <c r="G22" i="13" s="1"/>
  <c r="C22" i="13"/>
  <c r="D22" i="13" s="1"/>
  <c r="O21" i="13"/>
  <c r="P21" i="13" s="1"/>
  <c r="L21" i="13"/>
  <c r="M21" i="13" s="1"/>
  <c r="I21" i="13"/>
  <c r="J21" i="13" s="1"/>
  <c r="F21" i="13"/>
  <c r="G21" i="13" s="1"/>
  <c r="C21" i="13"/>
  <c r="D21" i="13" s="1"/>
  <c r="O20" i="13"/>
  <c r="P20" i="13" s="1"/>
  <c r="L20" i="13"/>
  <c r="M20" i="13" s="1"/>
  <c r="I20" i="13"/>
  <c r="J20" i="13" s="1"/>
  <c r="F20" i="13"/>
  <c r="G20" i="13" s="1"/>
  <c r="C20" i="13"/>
  <c r="D20" i="13" s="1"/>
  <c r="O19" i="13"/>
  <c r="P19" i="13" s="1"/>
  <c r="L19" i="13"/>
  <c r="M19" i="13" s="1"/>
  <c r="I19" i="13"/>
  <c r="J19" i="13" s="1"/>
  <c r="F19" i="13"/>
  <c r="G19" i="13" s="1"/>
  <c r="C19" i="13"/>
  <c r="D19" i="13" s="1"/>
  <c r="O18" i="13"/>
  <c r="P18" i="13" s="1"/>
  <c r="L18" i="13"/>
  <c r="M18" i="13" s="1"/>
  <c r="I18" i="13"/>
  <c r="J18" i="13" s="1"/>
  <c r="F18" i="13"/>
  <c r="G18" i="13" s="1"/>
  <c r="C18" i="13"/>
  <c r="D18" i="13" s="1"/>
  <c r="O17" i="13"/>
  <c r="P17" i="13" s="1"/>
  <c r="L17" i="13"/>
  <c r="M17" i="13" s="1"/>
  <c r="I17" i="13"/>
  <c r="J17" i="13" s="1"/>
  <c r="F17" i="13"/>
  <c r="G17" i="13" s="1"/>
  <c r="C17" i="13"/>
  <c r="D17" i="13" s="1"/>
  <c r="O16" i="13"/>
  <c r="P16" i="13" s="1"/>
  <c r="L16" i="13"/>
  <c r="M16" i="13" s="1"/>
  <c r="I16" i="13"/>
  <c r="J16" i="13" s="1"/>
  <c r="F16" i="13"/>
  <c r="G16" i="13" s="1"/>
  <c r="C16" i="13"/>
  <c r="D16" i="13" s="1"/>
  <c r="O15" i="13"/>
  <c r="P15" i="13" s="1"/>
  <c r="L15" i="13"/>
  <c r="M15" i="13" s="1"/>
  <c r="I15" i="13"/>
  <c r="J15" i="13" s="1"/>
  <c r="F15" i="13"/>
  <c r="G15" i="13" s="1"/>
  <c r="C15" i="13"/>
  <c r="D15" i="13" s="1"/>
  <c r="O14" i="13"/>
  <c r="P14" i="13" s="1"/>
  <c r="L14" i="13"/>
  <c r="M14" i="13" s="1"/>
  <c r="I14" i="13"/>
  <c r="J14" i="13" s="1"/>
  <c r="F14" i="13"/>
  <c r="G14" i="13" s="1"/>
  <c r="C14" i="13"/>
  <c r="D14" i="13" s="1"/>
  <c r="O13" i="13"/>
  <c r="P13" i="13" s="1"/>
  <c r="L13" i="13"/>
  <c r="M13" i="13" s="1"/>
  <c r="I13" i="13"/>
  <c r="J13" i="13" s="1"/>
  <c r="F13" i="13"/>
  <c r="G13" i="13" s="1"/>
  <c r="C13" i="13"/>
  <c r="D13" i="13" s="1"/>
  <c r="O12" i="13"/>
  <c r="P12" i="13" s="1"/>
  <c r="L12" i="13"/>
  <c r="M12" i="13" s="1"/>
  <c r="I12" i="13"/>
  <c r="J12" i="13" s="1"/>
  <c r="F12" i="13"/>
  <c r="G12" i="13" s="1"/>
  <c r="C12" i="13"/>
  <c r="D12" i="13" s="1"/>
  <c r="O11" i="13"/>
  <c r="P11" i="13" s="1"/>
  <c r="L11" i="13"/>
  <c r="M11" i="13" s="1"/>
  <c r="I11" i="13"/>
  <c r="J11" i="13" s="1"/>
  <c r="F11" i="13"/>
  <c r="G11" i="13" s="1"/>
  <c r="C11" i="13"/>
  <c r="D11" i="13" s="1"/>
  <c r="O10" i="13"/>
  <c r="P10" i="13" s="1"/>
  <c r="L10" i="13"/>
  <c r="M10" i="13" s="1"/>
  <c r="I10" i="13"/>
  <c r="J10" i="13" s="1"/>
  <c r="F10" i="13"/>
  <c r="G10" i="13" s="1"/>
  <c r="C10" i="13"/>
  <c r="D10" i="13" s="1"/>
  <c r="O9" i="13"/>
  <c r="P9" i="13" s="1"/>
  <c r="L9" i="13"/>
  <c r="M9" i="13" s="1"/>
  <c r="I9" i="13"/>
  <c r="J9" i="13" s="1"/>
  <c r="F9" i="13"/>
  <c r="G9" i="13" s="1"/>
  <c r="C9" i="13"/>
  <c r="D9" i="13" s="1"/>
  <c r="O8" i="13"/>
  <c r="P8" i="13" s="1"/>
  <c r="L8" i="13"/>
  <c r="M8" i="13" s="1"/>
  <c r="I8" i="13"/>
  <c r="J8" i="13" s="1"/>
  <c r="F8" i="13"/>
  <c r="G8" i="13" s="1"/>
  <c r="C8" i="13"/>
  <c r="D8" i="13" s="1"/>
  <c r="O7" i="13"/>
  <c r="P7" i="13" s="1"/>
  <c r="L7" i="13"/>
  <c r="M7" i="13" s="1"/>
  <c r="I7" i="13"/>
  <c r="J7" i="13" s="1"/>
  <c r="F7" i="13"/>
  <c r="G7" i="13" s="1"/>
  <c r="C7" i="13"/>
  <c r="D7" i="13" s="1"/>
  <c r="O6" i="13"/>
  <c r="P6" i="13" s="1"/>
  <c r="L6" i="13"/>
  <c r="M6" i="13" s="1"/>
  <c r="I6" i="13"/>
  <c r="J6" i="13" s="1"/>
  <c r="F6" i="13"/>
  <c r="G6" i="13" s="1"/>
  <c r="C6" i="13"/>
  <c r="D6" i="13" s="1"/>
  <c r="O5" i="13"/>
  <c r="P5" i="13" s="1"/>
  <c r="L5" i="13"/>
  <c r="M5" i="13" s="1"/>
  <c r="I5" i="13"/>
  <c r="J5" i="13" s="1"/>
  <c r="F5" i="13"/>
  <c r="G5" i="13" s="1"/>
  <c r="C5" i="13"/>
  <c r="D5" i="13" s="1"/>
  <c r="O4" i="13"/>
  <c r="P4" i="13" s="1"/>
  <c r="O3" i="13"/>
  <c r="P3" i="13" s="1"/>
  <c r="L3" i="13"/>
  <c r="M3" i="13" s="1"/>
  <c r="I3" i="13"/>
  <c r="J3" i="13" s="1"/>
  <c r="F3" i="13"/>
  <c r="G3" i="13" s="1"/>
  <c r="C3" i="13"/>
  <c r="D3" i="13" s="1"/>
  <c r="C4" i="13" l="1"/>
  <c r="D4" i="13" s="1"/>
  <c r="B29" i="13"/>
  <c r="F4" i="13"/>
  <c r="G4" i="13" s="1"/>
  <c r="K29" i="13"/>
  <c r="L53" i="13" s="1"/>
  <c r="M53" i="13" s="1"/>
  <c r="I4" i="13"/>
  <c r="J4" i="13" s="1"/>
  <c r="F29" i="13"/>
  <c r="G29" i="13" s="1"/>
  <c r="I29" i="13"/>
  <c r="J29" i="13" s="1"/>
  <c r="O29" i="13"/>
  <c r="P29" i="13" s="1"/>
  <c r="L29" i="13" l="1"/>
  <c r="M29" i="13" s="1"/>
  <c r="C29" i="13"/>
  <c r="D29" i="13" s="1"/>
  <c r="Q47" i="12" l="1"/>
  <c r="Q46" i="12"/>
  <c r="J50" i="12" l="1"/>
  <c r="J49" i="12"/>
  <c r="J46" i="12"/>
  <c r="J48" i="12"/>
  <c r="U56" i="12"/>
  <c r="J53" i="12"/>
  <c r="D51" i="12"/>
  <c r="C51" i="12"/>
  <c r="B51" i="12"/>
  <c r="E51" i="12" s="1"/>
  <c r="E50" i="12"/>
  <c r="E49" i="12"/>
  <c r="D48" i="12"/>
  <c r="C48" i="12"/>
  <c r="B48" i="12"/>
  <c r="S47" i="12"/>
  <c r="T47" i="12" s="1"/>
  <c r="V47" i="12" s="1"/>
  <c r="O47" i="12"/>
  <c r="E47" i="12"/>
  <c r="S46" i="12"/>
  <c r="E46" i="12"/>
  <c r="D52" i="12" l="1"/>
  <c r="C52" i="12"/>
  <c r="C54" i="12" s="1"/>
  <c r="J51" i="12"/>
  <c r="J52" i="12"/>
  <c r="B52" i="12"/>
  <c r="B54" i="12" s="1"/>
  <c r="E48" i="12"/>
  <c r="S48" i="12"/>
  <c r="T46" i="12"/>
  <c r="U49" i="12" l="1"/>
  <c r="U52" i="12" s="1"/>
  <c r="U53" i="12" s="1"/>
  <c r="U57" i="12" s="1"/>
  <c r="T48" i="12"/>
  <c r="U48" i="12" s="1"/>
  <c r="V46" i="12"/>
  <c r="U59" i="12" l="1"/>
  <c r="C36" i="12"/>
  <c r="D36" i="12"/>
  <c r="E36" i="12"/>
  <c r="F36" i="12"/>
  <c r="G36" i="12"/>
  <c r="B36" i="12"/>
  <c r="U26" i="12" l="1"/>
  <c r="R26" i="12"/>
  <c r="Q26" i="12"/>
  <c r="N26" i="12"/>
  <c r="K26" i="12"/>
  <c r="H26" i="12"/>
  <c r="E26" i="12"/>
  <c r="B26" i="12"/>
  <c r="U27" i="12"/>
  <c r="R27" i="12"/>
  <c r="Q27" i="12"/>
  <c r="N27" i="12"/>
  <c r="K27" i="12"/>
  <c r="H27" i="12"/>
  <c r="E27" i="12"/>
  <c r="B27" i="12"/>
  <c r="R28" i="12"/>
  <c r="Q28" i="12"/>
  <c r="N28" i="12"/>
  <c r="K28" i="12"/>
  <c r="H28" i="12"/>
  <c r="E28" i="12"/>
  <c r="B28" i="12"/>
  <c r="S25" i="12" l="1"/>
  <c r="R25" i="12"/>
  <c r="Q25" i="12"/>
  <c r="N25" i="12"/>
  <c r="K25" i="12"/>
  <c r="H25" i="12"/>
  <c r="E25" i="12"/>
  <c r="B25" i="12"/>
  <c r="R24" i="12" l="1"/>
  <c r="Q24" i="12"/>
  <c r="N24" i="12"/>
  <c r="K24" i="12"/>
  <c r="H24" i="12"/>
  <c r="E24" i="12"/>
  <c r="B24" i="12"/>
  <c r="T29" i="12" l="1"/>
  <c r="O26" i="12"/>
  <c r="P26" i="12" s="1"/>
  <c r="O27" i="12"/>
  <c r="P27" i="12"/>
  <c r="O28" i="12"/>
  <c r="P28" i="12" s="1"/>
  <c r="L26" i="12"/>
  <c r="M26" i="12" s="1"/>
  <c r="L27" i="12"/>
  <c r="M27" i="12" s="1"/>
  <c r="L28" i="12"/>
  <c r="M28" i="12" s="1"/>
  <c r="I26" i="12"/>
  <c r="J26" i="12" s="1"/>
  <c r="I27" i="12"/>
  <c r="J27" i="12"/>
  <c r="I28" i="12"/>
  <c r="J28" i="12"/>
  <c r="F26" i="12"/>
  <c r="G26" i="12" s="1"/>
  <c r="F27" i="12"/>
  <c r="G27" i="12" s="1"/>
  <c r="F28" i="12"/>
  <c r="G28" i="12" s="1"/>
  <c r="C26" i="12"/>
  <c r="D26" i="12" s="1"/>
  <c r="C27" i="12"/>
  <c r="D27" i="12"/>
  <c r="C28" i="12"/>
  <c r="D28" i="12" s="1"/>
  <c r="U23" i="12"/>
  <c r="B23" i="12"/>
  <c r="F37" i="12" l="1"/>
  <c r="F38" i="12" s="1"/>
  <c r="R22" i="12"/>
  <c r="Q22" i="12"/>
  <c r="N22" i="12"/>
  <c r="K22" i="12"/>
  <c r="H22" i="12"/>
  <c r="E22" i="12"/>
  <c r="B22" i="12"/>
  <c r="R21" i="12"/>
  <c r="Q21" i="12"/>
  <c r="N21" i="12"/>
  <c r="K21" i="12"/>
  <c r="H21" i="12"/>
  <c r="E21" i="12"/>
  <c r="B21" i="12"/>
  <c r="R20" i="12"/>
  <c r="H20" i="12" l="1"/>
  <c r="B20" i="12"/>
  <c r="R19" i="12" l="1"/>
  <c r="Q19" i="12"/>
  <c r="N19" i="12"/>
  <c r="K19" i="12"/>
  <c r="H19" i="12"/>
  <c r="E19" i="12"/>
  <c r="B19" i="12"/>
  <c r="U18" i="12" l="1"/>
  <c r="R18" i="12"/>
  <c r="Q18" i="12"/>
  <c r="N18" i="12"/>
  <c r="K18" i="12"/>
  <c r="H18" i="12"/>
  <c r="E18" i="12"/>
  <c r="B18" i="12"/>
  <c r="U17" i="12" l="1"/>
  <c r="R16" i="12" l="1"/>
  <c r="E16" i="12"/>
  <c r="B16" i="12"/>
  <c r="R15" i="12"/>
  <c r="Q15" i="12"/>
  <c r="N15" i="12"/>
  <c r="K15" i="12"/>
  <c r="H15" i="12"/>
  <c r="E15" i="12"/>
  <c r="B15" i="12"/>
  <c r="U14" i="12"/>
  <c r="R14" i="12"/>
  <c r="Q14" i="12"/>
  <c r="N14" i="12"/>
  <c r="K14" i="12"/>
  <c r="H14" i="12"/>
  <c r="E14" i="12"/>
  <c r="B14" i="12"/>
  <c r="R13" i="12" l="1"/>
  <c r="Q13" i="12"/>
  <c r="N13" i="12"/>
  <c r="K13" i="12"/>
  <c r="H13" i="12"/>
  <c r="E13" i="12"/>
  <c r="B13" i="12"/>
  <c r="U12" i="12" l="1"/>
  <c r="S12" i="12"/>
  <c r="R12" i="12"/>
  <c r="Q12" i="12"/>
  <c r="N12" i="12"/>
  <c r="K12" i="12"/>
  <c r="H12" i="12"/>
  <c r="E12" i="12"/>
  <c r="B12" i="12"/>
  <c r="R11" i="12" l="1"/>
  <c r="N11" i="12"/>
  <c r="K11" i="12"/>
  <c r="H11" i="12"/>
  <c r="E11" i="12"/>
  <c r="B11" i="12"/>
  <c r="U10" i="12" l="1"/>
  <c r="R10" i="12"/>
  <c r="N10" i="12"/>
  <c r="K10" i="12"/>
  <c r="H10" i="12"/>
  <c r="E10" i="12"/>
  <c r="B10" i="12"/>
  <c r="U9" i="12"/>
  <c r="S9" i="12"/>
  <c r="R9" i="12"/>
  <c r="Q9" i="12"/>
  <c r="N9" i="12"/>
  <c r="K9" i="12"/>
  <c r="H9" i="12"/>
  <c r="E9" i="12"/>
  <c r="B9" i="12"/>
  <c r="U8" i="12" l="1"/>
  <c r="R8" i="12"/>
  <c r="Q8" i="12"/>
  <c r="N8" i="12"/>
  <c r="K8" i="12"/>
  <c r="H8" i="12"/>
  <c r="E8" i="12"/>
  <c r="B8" i="12"/>
  <c r="N7" i="12" l="1"/>
  <c r="R7" i="12"/>
  <c r="K7" i="12"/>
  <c r="E7" i="12"/>
  <c r="B7" i="12"/>
  <c r="U6" i="12" l="1"/>
  <c r="R6" i="12"/>
  <c r="Q6" i="12"/>
  <c r="N6" i="12"/>
  <c r="K6" i="12"/>
  <c r="H6" i="12"/>
  <c r="E6" i="12"/>
  <c r="B6" i="12"/>
  <c r="S5" i="12" l="1"/>
  <c r="S29" i="12" s="1"/>
  <c r="R5" i="12"/>
  <c r="N5" i="12"/>
  <c r="K5" i="12"/>
  <c r="H5" i="12"/>
  <c r="E5" i="12"/>
  <c r="B5" i="12"/>
  <c r="U57" i="11" l="1"/>
  <c r="Q50" i="11"/>
  <c r="S50" i="11"/>
  <c r="T50" i="11" s="1"/>
  <c r="V50" i="11" s="1"/>
  <c r="Q49" i="11"/>
  <c r="S49" i="11" s="1"/>
  <c r="J54" i="10"/>
  <c r="J52" i="11"/>
  <c r="J54" i="11" s="1"/>
  <c r="J49" i="11"/>
  <c r="J51" i="11" s="1"/>
  <c r="U59" i="11"/>
  <c r="J56" i="11"/>
  <c r="D54" i="11"/>
  <c r="C54" i="11"/>
  <c r="B54" i="11"/>
  <c r="E54" i="11" s="1"/>
  <c r="J53" i="11"/>
  <c r="E53" i="11"/>
  <c r="E52" i="11"/>
  <c r="D51" i="11"/>
  <c r="D55" i="11" s="1"/>
  <c r="C51" i="11"/>
  <c r="C55" i="11" s="1"/>
  <c r="C57" i="11" s="1"/>
  <c r="B51" i="11"/>
  <c r="O50" i="11"/>
  <c r="E50" i="11"/>
  <c r="E49" i="11"/>
  <c r="G39" i="11"/>
  <c r="F39" i="11"/>
  <c r="E39" i="11"/>
  <c r="D39" i="11"/>
  <c r="C39" i="11"/>
  <c r="B39" i="11"/>
  <c r="E51" i="11" l="1"/>
  <c r="B55" i="11"/>
  <c r="B57" i="11" s="1"/>
  <c r="S51" i="11"/>
  <c r="T49" i="11"/>
  <c r="J55" i="11"/>
  <c r="U52" i="11" l="1"/>
  <c r="U55" i="11" s="1"/>
  <c r="T51" i="11"/>
  <c r="U51" i="11" s="1"/>
  <c r="V49" i="11"/>
  <c r="U56" i="11" l="1"/>
  <c r="U60" i="11" s="1"/>
  <c r="U62" i="11" s="1"/>
  <c r="B4" i="12"/>
  <c r="C4" i="12" s="1"/>
  <c r="D4" i="12" s="1"/>
  <c r="U3" i="12"/>
  <c r="U29" i="12" s="1"/>
  <c r="R3" i="12"/>
  <c r="R29" i="12" s="1"/>
  <c r="Q3" i="12"/>
  <c r="Q29" i="12" s="1"/>
  <c r="N3" i="12"/>
  <c r="N29" i="12" s="1"/>
  <c r="K3" i="12"/>
  <c r="H3" i="12"/>
  <c r="E3" i="12"/>
  <c r="B3" i="12"/>
  <c r="B29" i="12" s="1"/>
  <c r="O25" i="12"/>
  <c r="P25" i="12" s="1"/>
  <c r="L25" i="12"/>
  <c r="M25" i="12" s="1"/>
  <c r="I25" i="12"/>
  <c r="J25" i="12" s="1"/>
  <c r="F25" i="12"/>
  <c r="G25" i="12" s="1"/>
  <c r="C25" i="12"/>
  <c r="D25" i="12" s="1"/>
  <c r="O24" i="12"/>
  <c r="P24" i="12" s="1"/>
  <c r="L24" i="12"/>
  <c r="M24" i="12" s="1"/>
  <c r="I24" i="12"/>
  <c r="J24" i="12" s="1"/>
  <c r="F24" i="12"/>
  <c r="G24" i="12" s="1"/>
  <c r="C24" i="12"/>
  <c r="D24" i="12" s="1"/>
  <c r="O23" i="12"/>
  <c r="P23" i="12" s="1"/>
  <c r="L23" i="12"/>
  <c r="M23" i="12" s="1"/>
  <c r="I23" i="12"/>
  <c r="J23" i="12" s="1"/>
  <c r="F23" i="12"/>
  <c r="G23" i="12" s="1"/>
  <c r="C23" i="12"/>
  <c r="D23" i="12" s="1"/>
  <c r="O22" i="12"/>
  <c r="P22" i="12" s="1"/>
  <c r="L22" i="12"/>
  <c r="M22" i="12" s="1"/>
  <c r="I22" i="12"/>
  <c r="J22" i="12" s="1"/>
  <c r="F22" i="12"/>
  <c r="G22" i="12" s="1"/>
  <c r="C22" i="12"/>
  <c r="D22" i="12" s="1"/>
  <c r="O21" i="12"/>
  <c r="P21" i="12" s="1"/>
  <c r="L21" i="12"/>
  <c r="M21" i="12" s="1"/>
  <c r="I21" i="12"/>
  <c r="J21" i="12" s="1"/>
  <c r="F21" i="12"/>
  <c r="G21" i="12" s="1"/>
  <c r="C21" i="12"/>
  <c r="D21" i="12" s="1"/>
  <c r="O20" i="12"/>
  <c r="P20" i="12" s="1"/>
  <c r="L20" i="12"/>
  <c r="M20" i="12" s="1"/>
  <c r="I20" i="12"/>
  <c r="J20" i="12" s="1"/>
  <c r="F20" i="12"/>
  <c r="G20" i="12" s="1"/>
  <c r="C20" i="12"/>
  <c r="D20" i="12" s="1"/>
  <c r="O19" i="12"/>
  <c r="P19" i="12" s="1"/>
  <c r="L19" i="12"/>
  <c r="M19" i="12" s="1"/>
  <c r="I19" i="12"/>
  <c r="J19" i="12" s="1"/>
  <c r="F19" i="12"/>
  <c r="G19" i="12" s="1"/>
  <c r="C19" i="12"/>
  <c r="D19" i="12" s="1"/>
  <c r="O18" i="12"/>
  <c r="P18" i="12" s="1"/>
  <c r="L18" i="12"/>
  <c r="M18" i="12" s="1"/>
  <c r="I18" i="12"/>
  <c r="J18" i="12" s="1"/>
  <c r="F18" i="12"/>
  <c r="G18" i="12" s="1"/>
  <c r="C18" i="12"/>
  <c r="D18" i="12" s="1"/>
  <c r="O17" i="12"/>
  <c r="P17" i="12" s="1"/>
  <c r="L17" i="12"/>
  <c r="M17" i="12" s="1"/>
  <c r="I17" i="12"/>
  <c r="J17" i="12" s="1"/>
  <c r="F17" i="12"/>
  <c r="G17" i="12" s="1"/>
  <c r="C17" i="12"/>
  <c r="D17" i="12" s="1"/>
  <c r="O16" i="12"/>
  <c r="P16" i="12" s="1"/>
  <c r="L16" i="12"/>
  <c r="M16" i="12" s="1"/>
  <c r="I16" i="12"/>
  <c r="J16" i="12" s="1"/>
  <c r="F16" i="12"/>
  <c r="G16" i="12" s="1"/>
  <c r="C16" i="12"/>
  <c r="D16" i="12" s="1"/>
  <c r="O15" i="12"/>
  <c r="P15" i="12" s="1"/>
  <c r="L15" i="12"/>
  <c r="M15" i="12" s="1"/>
  <c r="I15" i="12"/>
  <c r="J15" i="12" s="1"/>
  <c r="F15" i="12"/>
  <c r="G15" i="12" s="1"/>
  <c r="C15" i="12"/>
  <c r="D15" i="12" s="1"/>
  <c r="O14" i="12"/>
  <c r="P14" i="12" s="1"/>
  <c r="L14" i="12"/>
  <c r="M14" i="12" s="1"/>
  <c r="I14" i="12"/>
  <c r="J14" i="12" s="1"/>
  <c r="F14" i="12"/>
  <c r="G14" i="12" s="1"/>
  <c r="C14" i="12"/>
  <c r="D14" i="12" s="1"/>
  <c r="O13" i="12"/>
  <c r="P13" i="12" s="1"/>
  <c r="L13" i="12"/>
  <c r="M13" i="12" s="1"/>
  <c r="I13" i="12"/>
  <c r="J13" i="12" s="1"/>
  <c r="F13" i="12"/>
  <c r="G13" i="12" s="1"/>
  <c r="C13" i="12"/>
  <c r="D13" i="12" s="1"/>
  <c r="O12" i="12"/>
  <c r="P12" i="12" s="1"/>
  <c r="L12" i="12"/>
  <c r="M12" i="12" s="1"/>
  <c r="I12" i="12"/>
  <c r="J12" i="12" s="1"/>
  <c r="F12" i="12"/>
  <c r="G12" i="12" s="1"/>
  <c r="C12" i="12"/>
  <c r="D12" i="12" s="1"/>
  <c r="O11" i="12"/>
  <c r="P11" i="12" s="1"/>
  <c r="L11" i="12"/>
  <c r="M11" i="12" s="1"/>
  <c r="I11" i="12"/>
  <c r="J11" i="12" s="1"/>
  <c r="F11" i="12"/>
  <c r="G11" i="12" s="1"/>
  <c r="C11" i="12"/>
  <c r="D11" i="12" s="1"/>
  <c r="O10" i="12"/>
  <c r="P10" i="12" s="1"/>
  <c r="L10" i="12"/>
  <c r="M10" i="12" s="1"/>
  <c r="I10" i="12"/>
  <c r="J10" i="12" s="1"/>
  <c r="F10" i="12"/>
  <c r="G10" i="12" s="1"/>
  <c r="C10" i="12"/>
  <c r="D10" i="12" s="1"/>
  <c r="O9" i="12"/>
  <c r="P9" i="12" s="1"/>
  <c r="L9" i="12"/>
  <c r="M9" i="12" s="1"/>
  <c r="I9" i="12"/>
  <c r="J9" i="12" s="1"/>
  <c r="F9" i="12"/>
  <c r="G9" i="12" s="1"/>
  <c r="C9" i="12"/>
  <c r="D9" i="12" s="1"/>
  <c r="O8" i="12"/>
  <c r="P8" i="12" s="1"/>
  <c r="L8" i="12"/>
  <c r="M8" i="12" s="1"/>
  <c r="I8" i="12"/>
  <c r="J8" i="12" s="1"/>
  <c r="F8" i="12"/>
  <c r="G8" i="12" s="1"/>
  <c r="C8" i="12"/>
  <c r="D8" i="12" s="1"/>
  <c r="O7" i="12"/>
  <c r="P7" i="12" s="1"/>
  <c r="L7" i="12"/>
  <c r="M7" i="12" s="1"/>
  <c r="I7" i="12"/>
  <c r="J7" i="12" s="1"/>
  <c r="F7" i="12"/>
  <c r="G7" i="12" s="1"/>
  <c r="C7" i="12"/>
  <c r="D7" i="12" s="1"/>
  <c r="O6" i="12"/>
  <c r="P6" i="12" s="1"/>
  <c r="L6" i="12"/>
  <c r="M6" i="12" s="1"/>
  <c r="I6" i="12"/>
  <c r="J6" i="12" s="1"/>
  <c r="F6" i="12"/>
  <c r="G6" i="12" s="1"/>
  <c r="C6" i="12"/>
  <c r="D6" i="12" s="1"/>
  <c r="O5" i="12"/>
  <c r="P5" i="12" s="1"/>
  <c r="L5" i="12"/>
  <c r="M5" i="12" s="1"/>
  <c r="I5" i="12"/>
  <c r="J5" i="12" s="1"/>
  <c r="F5" i="12"/>
  <c r="G5" i="12" s="1"/>
  <c r="C5" i="12"/>
  <c r="D5" i="12" s="1"/>
  <c r="O4" i="12"/>
  <c r="P4" i="12" s="1"/>
  <c r="L4" i="12"/>
  <c r="M4" i="12" s="1"/>
  <c r="I4" i="12"/>
  <c r="J4" i="12" s="1"/>
  <c r="F4" i="12"/>
  <c r="G4" i="12" s="1"/>
  <c r="R29" i="11"/>
  <c r="Q29" i="11"/>
  <c r="N29" i="11"/>
  <c r="O29" i="11" s="1"/>
  <c r="P29" i="11" s="1"/>
  <c r="K29" i="11"/>
  <c r="L29" i="11" s="1"/>
  <c r="M29" i="11" s="1"/>
  <c r="H29" i="11"/>
  <c r="I29" i="11" s="1"/>
  <c r="J29" i="11" s="1"/>
  <c r="E29" i="11"/>
  <c r="F29" i="11" s="1"/>
  <c r="G29" i="11" s="1"/>
  <c r="B29" i="11"/>
  <c r="C29" i="11" s="1"/>
  <c r="D29" i="11" s="1"/>
  <c r="H49" i="12" l="1"/>
  <c r="D37" i="12"/>
  <c r="D38" i="12" s="1"/>
  <c r="E29" i="12"/>
  <c r="L3" i="12"/>
  <c r="M3" i="12" s="1"/>
  <c r="K29" i="12"/>
  <c r="L29" i="12" s="1"/>
  <c r="M29" i="12" s="1"/>
  <c r="H50" i="12"/>
  <c r="K50" i="12" s="1"/>
  <c r="E37" i="12"/>
  <c r="E38" i="12" s="1"/>
  <c r="C3" i="12"/>
  <c r="D3" i="12" s="1"/>
  <c r="O3" i="12"/>
  <c r="P3" i="12" s="1"/>
  <c r="I3" i="12"/>
  <c r="J3" i="12" s="1"/>
  <c r="H29" i="12"/>
  <c r="H46" i="12" s="1"/>
  <c r="G37" i="12"/>
  <c r="G38" i="12" s="1"/>
  <c r="H53" i="12"/>
  <c r="C29" i="12"/>
  <c r="D29" i="12" s="1"/>
  <c r="O29" i="12"/>
  <c r="P29" i="12" s="1"/>
  <c r="F3" i="12"/>
  <c r="G3" i="12" s="1"/>
  <c r="R28" i="11"/>
  <c r="N28" i="11"/>
  <c r="K28" i="11"/>
  <c r="E28" i="11"/>
  <c r="B28" i="11"/>
  <c r="K46" i="12" l="1"/>
  <c r="B37" i="12"/>
  <c r="B38" i="12" s="1"/>
  <c r="H47" i="12"/>
  <c r="K47" i="12" s="1"/>
  <c r="C37" i="12"/>
  <c r="C38" i="12" s="1"/>
  <c r="I29" i="12"/>
  <c r="J29" i="12" s="1"/>
  <c r="F29" i="12"/>
  <c r="G29" i="12" s="1"/>
  <c r="H51" i="12"/>
  <c r="K49" i="12"/>
  <c r="U27" i="11"/>
  <c r="S27" i="11"/>
  <c r="R27" i="11"/>
  <c r="Q27" i="11"/>
  <c r="N27" i="11"/>
  <c r="K27" i="11"/>
  <c r="H27" i="11"/>
  <c r="E27" i="11"/>
  <c r="B27" i="11"/>
  <c r="K51" i="12" l="1"/>
  <c r="K48" i="12"/>
  <c r="H48" i="12"/>
  <c r="H52" i="12" s="1"/>
  <c r="H54" i="12" s="1"/>
  <c r="U26" i="11"/>
  <c r="R26" i="11"/>
  <c r="Q26" i="11"/>
  <c r="N26" i="11"/>
  <c r="K26" i="11"/>
  <c r="H26" i="11"/>
  <c r="E26" i="11"/>
  <c r="B26" i="11"/>
  <c r="R25" i="11" l="1"/>
  <c r="U24" i="11"/>
  <c r="R24" i="11"/>
  <c r="Q24" i="11"/>
  <c r="N24" i="11"/>
  <c r="H24" i="11"/>
  <c r="K24" i="11"/>
  <c r="E24" i="11"/>
  <c r="B24" i="11"/>
  <c r="U23" i="11"/>
  <c r="R23" i="11"/>
  <c r="Q23" i="11"/>
  <c r="N23" i="11"/>
  <c r="K23" i="11"/>
  <c r="H23" i="11"/>
  <c r="E23" i="11"/>
  <c r="B23" i="11"/>
  <c r="R22" i="11" l="1"/>
  <c r="Q22" i="11"/>
  <c r="N22" i="11"/>
  <c r="K22" i="11"/>
  <c r="H22" i="11"/>
  <c r="E22" i="11"/>
  <c r="B22" i="11"/>
  <c r="U21" i="11" l="1"/>
  <c r="R21" i="11"/>
  <c r="Q21" i="11"/>
  <c r="B21" i="11"/>
  <c r="R20" i="11" l="1"/>
  <c r="B20" i="11"/>
  <c r="R19" i="11" l="1"/>
  <c r="Q19" i="11"/>
  <c r="N19" i="11"/>
  <c r="K19" i="11"/>
  <c r="H19" i="11"/>
  <c r="E19" i="11"/>
  <c r="B19" i="11"/>
  <c r="U18" i="11"/>
  <c r="R18" i="11"/>
  <c r="Q18" i="11"/>
  <c r="N18" i="11"/>
  <c r="K18" i="11"/>
  <c r="H18" i="11"/>
  <c r="E18" i="11"/>
  <c r="B18" i="11"/>
  <c r="U17" i="11"/>
  <c r="R17" i="11"/>
  <c r="Q17" i="11"/>
  <c r="N17" i="11"/>
  <c r="K17" i="11"/>
  <c r="H17" i="11"/>
  <c r="E17" i="11"/>
  <c r="B17" i="11"/>
  <c r="R16" i="11"/>
  <c r="N16" i="11"/>
  <c r="K16" i="11"/>
  <c r="H16" i="11"/>
  <c r="E16" i="11"/>
  <c r="R15" i="11" l="1"/>
  <c r="R14" i="11" l="1"/>
  <c r="Q14" i="11"/>
  <c r="N14" i="11"/>
  <c r="K14" i="11"/>
  <c r="H14" i="11"/>
  <c r="E14" i="11"/>
  <c r="N13" i="11" l="1"/>
  <c r="K13" i="11"/>
  <c r="H13" i="11"/>
  <c r="E13" i="11"/>
  <c r="B13" i="11"/>
  <c r="U13" i="11" l="1"/>
  <c r="R13" i="11"/>
  <c r="Q13" i="11"/>
  <c r="R12" i="11"/>
  <c r="N12" i="11"/>
  <c r="K12" i="11"/>
  <c r="H12" i="11"/>
  <c r="E12" i="11"/>
  <c r="B12" i="11"/>
  <c r="U12" i="11"/>
  <c r="Q12" i="11"/>
  <c r="U11" i="11"/>
  <c r="R11" i="11"/>
  <c r="N11" i="11"/>
  <c r="K11" i="11"/>
  <c r="H11" i="11"/>
  <c r="E11" i="11"/>
  <c r="R10" i="11" l="1"/>
  <c r="Q10" i="11"/>
  <c r="N10" i="11"/>
  <c r="K10" i="11"/>
  <c r="H10" i="11"/>
  <c r="E10" i="11"/>
  <c r="B10" i="11"/>
  <c r="U9" i="11" l="1"/>
  <c r="R9" i="11"/>
  <c r="Q9" i="11"/>
  <c r="N9" i="11"/>
  <c r="K9" i="11"/>
  <c r="H9" i="11"/>
  <c r="E9" i="11"/>
  <c r="B9" i="11"/>
  <c r="U8" i="11"/>
  <c r="R8" i="11"/>
  <c r="Q8" i="11"/>
  <c r="N8" i="11"/>
  <c r="K8" i="11"/>
  <c r="H8" i="11"/>
  <c r="E8" i="11"/>
  <c r="B8" i="11"/>
  <c r="U7" i="11" l="1"/>
  <c r="R7" i="11"/>
  <c r="Q7" i="11"/>
  <c r="N7" i="11"/>
  <c r="K7" i="11"/>
  <c r="H7" i="11"/>
  <c r="E7" i="11"/>
  <c r="B7" i="11"/>
  <c r="T6" i="11"/>
  <c r="T30" i="11" s="1"/>
  <c r="U6" i="11"/>
  <c r="S6" i="11"/>
  <c r="R6" i="11"/>
  <c r="Q6" i="11"/>
  <c r="N6" i="11"/>
  <c r="K6" i="11"/>
  <c r="H6" i="11"/>
  <c r="E6" i="11"/>
  <c r="B6" i="11"/>
  <c r="U5" i="11"/>
  <c r="R5" i="11"/>
  <c r="Q5" i="11"/>
  <c r="N5" i="11"/>
  <c r="K5" i="11"/>
  <c r="H5" i="11"/>
  <c r="E5" i="11"/>
  <c r="B5" i="11"/>
  <c r="F40" i="11" l="1"/>
  <c r="F41" i="11" s="1"/>
  <c r="Q30" i="11"/>
  <c r="U4" i="11"/>
  <c r="R4" i="11"/>
  <c r="B4" i="11"/>
  <c r="H52" i="11" l="1"/>
  <c r="D40" i="11"/>
  <c r="D41" i="11" s="1"/>
  <c r="N3" i="11"/>
  <c r="N30" i="11" s="1"/>
  <c r="U3" i="11"/>
  <c r="U30" i="11" s="1"/>
  <c r="S3" i="11"/>
  <c r="S30" i="11" s="1"/>
  <c r="R3" i="11"/>
  <c r="R30" i="11" s="1"/>
  <c r="E40" i="11" s="1"/>
  <c r="E41" i="11" s="1"/>
  <c r="K3" i="11"/>
  <c r="K30" i="11" s="1"/>
  <c r="H3" i="11"/>
  <c r="H30" i="11" s="1"/>
  <c r="E3" i="11"/>
  <c r="E30" i="11" s="1"/>
  <c r="H50" i="11" s="1"/>
  <c r="K50" i="11" s="1"/>
  <c r="B3" i="11"/>
  <c r="C25" i="11"/>
  <c r="D25" i="11" s="1"/>
  <c r="F25" i="11"/>
  <c r="G25" i="11" s="1"/>
  <c r="I25" i="11"/>
  <c r="J25" i="11" s="1"/>
  <c r="L25" i="11"/>
  <c r="M25" i="11" s="1"/>
  <c r="O25" i="11"/>
  <c r="P25" i="11" s="1"/>
  <c r="C26" i="11"/>
  <c r="D26" i="11" s="1"/>
  <c r="F26" i="11"/>
  <c r="G26" i="11" s="1"/>
  <c r="I26" i="11"/>
  <c r="J26" i="11" s="1"/>
  <c r="L26" i="11"/>
  <c r="M26" i="11" s="1"/>
  <c r="O26" i="11"/>
  <c r="P26" i="11" s="1"/>
  <c r="C27" i="11"/>
  <c r="D27" i="11" s="1"/>
  <c r="F27" i="11"/>
  <c r="G27" i="11" s="1"/>
  <c r="I27" i="11"/>
  <c r="J27" i="11" s="1"/>
  <c r="L27" i="11"/>
  <c r="M27" i="11" s="1"/>
  <c r="O27" i="11"/>
  <c r="P27" i="11" s="1"/>
  <c r="C28" i="11"/>
  <c r="D28" i="11" s="1"/>
  <c r="F28" i="11"/>
  <c r="G28" i="11" s="1"/>
  <c r="I28" i="11"/>
  <c r="J28" i="11" s="1"/>
  <c r="L28" i="11"/>
  <c r="M28" i="11" s="1"/>
  <c r="O28" i="11"/>
  <c r="P28" i="11"/>
  <c r="O24" i="11"/>
  <c r="P24" i="11" s="1"/>
  <c r="L24" i="11"/>
  <c r="M24" i="11" s="1"/>
  <c r="I24" i="11"/>
  <c r="J24" i="11" s="1"/>
  <c r="F24" i="11"/>
  <c r="G24" i="11" s="1"/>
  <c r="C24" i="11"/>
  <c r="D24" i="11" s="1"/>
  <c r="O23" i="11"/>
  <c r="P23" i="11" s="1"/>
  <c r="L23" i="11"/>
  <c r="M23" i="11" s="1"/>
  <c r="I23" i="11"/>
  <c r="J23" i="11" s="1"/>
  <c r="F23" i="11"/>
  <c r="G23" i="11" s="1"/>
  <c r="C23" i="11"/>
  <c r="D23" i="11" s="1"/>
  <c r="O22" i="11"/>
  <c r="P22" i="11" s="1"/>
  <c r="L22" i="11"/>
  <c r="M22" i="11" s="1"/>
  <c r="I22" i="11"/>
  <c r="J22" i="11" s="1"/>
  <c r="F22" i="11"/>
  <c r="G22" i="11" s="1"/>
  <c r="C22" i="11"/>
  <c r="D22" i="11" s="1"/>
  <c r="O21" i="11"/>
  <c r="P21" i="11" s="1"/>
  <c r="L21" i="11"/>
  <c r="M21" i="11" s="1"/>
  <c r="I21" i="11"/>
  <c r="J21" i="11" s="1"/>
  <c r="F21" i="11"/>
  <c r="G21" i="11" s="1"/>
  <c r="C21" i="11"/>
  <c r="D21" i="11" s="1"/>
  <c r="O20" i="11"/>
  <c r="P20" i="11" s="1"/>
  <c r="L20" i="11"/>
  <c r="M20" i="11" s="1"/>
  <c r="I20" i="11"/>
  <c r="J20" i="11" s="1"/>
  <c r="F20" i="11"/>
  <c r="G20" i="11" s="1"/>
  <c r="C20" i="11"/>
  <c r="D20" i="11" s="1"/>
  <c r="O19" i="11"/>
  <c r="P19" i="11" s="1"/>
  <c r="L19" i="11"/>
  <c r="M19" i="11" s="1"/>
  <c r="I19" i="11"/>
  <c r="J19" i="11" s="1"/>
  <c r="F19" i="11"/>
  <c r="G19" i="11" s="1"/>
  <c r="C19" i="11"/>
  <c r="D19" i="11" s="1"/>
  <c r="O18" i="11"/>
  <c r="P18" i="11" s="1"/>
  <c r="L18" i="11"/>
  <c r="M18" i="11" s="1"/>
  <c r="I18" i="11"/>
  <c r="J18" i="11" s="1"/>
  <c r="F18" i="11"/>
  <c r="G18" i="11" s="1"/>
  <c r="C18" i="11"/>
  <c r="D18" i="11" s="1"/>
  <c r="O17" i="11"/>
  <c r="P17" i="11" s="1"/>
  <c r="L17" i="11"/>
  <c r="M17" i="11" s="1"/>
  <c r="I17" i="11"/>
  <c r="J17" i="11" s="1"/>
  <c r="F17" i="11"/>
  <c r="G17" i="11" s="1"/>
  <c r="C17" i="11"/>
  <c r="D17" i="11" s="1"/>
  <c r="O16" i="11"/>
  <c r="P16" i="11" s="1"/>
  <c r="L16" i="11"/>
  <c r="M16" i="11" s="1"/>
  <c r="I16" i="11"/>
  <c r="J16" i="11" s="1"/>
  <c r="F16" i="11"/>
  <c r="G16" i="11" s="1"/>
  <c r="C16" i="11"/>
  <c r="D16" i="11" s="1"/>
  <c r="O15" i="11"/>
  <c r="P15" i="11" s="1"/>
  <c r="L15" i="11"/>
  <c r="M15" i="11" s="1"/>
  <c r="I15" i="11"/>
  <c r="J15" i="11" s="1"/>
  <c r="F15" i="11"/>
  <c r="G15" i="11" s="1"/>
  <c r="C15" i="11"/>
  <c r="D15" i="11" s="1"/>
  <c r="O14" i="11"/>
  <c r="P14" i="11" s="1"/>
  <c r="L14" i="11"/>
  <c r="M14" i="11" s="1"/>
  <c r="I14" i="11"/>
  <c r="J14" i="11" s="1"/>
  <c r="F14" i="11"/>
  <c r="G14" i="11" s="1"/>
  <c r="C14" i="11"/>
  <c r="D14" i="11" s="1"/>
  <c r="O13" i="11"/>
  <c r="P13" i="11" s="1"/>
  <c r="L13" i="11"/>
  <c r="M13" i="11" s="1"/>
  <c r="I13" i="11"/>
  <c r="J13" i="11" s="1"/>
  <c r="F13" i="11"/>
  <c r="G13" i="11" s="1"/>
  <c r="C13" i="11"/>
  <c r="D13" i="11" s="1"/>
  <c r="O12" i="11"/>
  <c r="P12" i="11" s="1"/>
  <c r="L12" i="11"/>
  <c r="M12" i="11" s="1"/>
  <c r="I12" i="11"/>
  <c r="J12" i="11" s="1"/>
  <c r="F12" i="11"/>
  <c r="G12" i="11" s="1"/>
  <c r="C12" i="11"/>
  <c r="D12" i="11" s="1"/>
  <c r="O11" i="11"/>
  <c r="P11" i="11" s="1"/>
  <c r="L11" i="11"/>
  <c r="M11" i="11" s="1"/>
  <c r="I11" i="11"/>
  <c r="J11" i="11" s="1"/>
  <c r="F11" i="11"/>
  <c r="G11" i="11" s="1"/>
  <c r="C11" i="11"/>
  <c r="D11" i="11" s="1"/>
  <c r="O10" i="11"/>
  <c r="P10" i="11" s="1"/>
  <c r="L10" i="11"/>
  <c r="M10" i="11" s="1"/>
  <c r="I10" i="11"/>
  <c r="J10" i="11" s="1"/>
  <c r="F10" i="11"/>
  <c r="G10" i="11" s="1"/>
  <c r="C10" i="11"/>
  <c r="D10" i="11" s="1"/>
  <c r="O9" i="11"/>
  <c r="P9" i="11" s="1"/>
  <c r="L9" i="11"/>
  <c r="M9" i="11" s="1"/>
  <c r="I9" i="11"/>
  <c r="J9" i="11" s="1"/>
  <c r="F9" i="11"/>
  <c r="G9" i="11" s="1"/>
  <c r="C9" i="11"/>
  <c r="D9" i="11" s="1"/>
  <c r="O8" i="11"/>
  <c r="P8" i="11" s="1"/>
  <c r="L8" i="11"/>
  <c r="M8" i="11" s="1"/>
  <c r="I8" i="11"/>
  <c r="J8" i="11" s="1"/>
  <c r="F8" i="11"/>
  <c r="G8" i="11" s="1"/>
  <c r="C8" i="11"/>
  <c r="D8" i="11" s="1"/>
  <c r="O7" i="11"/>
  <c r="P7" i="11" s="1"/>
  <c r="L7" i="11"/>
  <c r="M7" i="11" s="1"/>
  <c r="I7" i="11"/>
  <c r="J7" i="11" s="1"/>
  <c r="F7" i="11"/>
  <c r="G7" i="11" s="1"/>
  <c r="C7" i="11"/>
  <c r="D7" i="11" s="1"/>
  <c r="O6" i="11"/>
  <c r="P6" i="11" s="1"/>
  <c r="L6" i="11"/>
  <c r="M6" i="11" s="1"/>
  <c r="I6" i="11"/>
  <c r="J6" i="11" s="1"/>
  <c r="F6" i="11"/>
  <c r="G6" i="11" s="1"/>
  <c r="C6" i="11"/>
  <c r="D6" i="11" s="1"/>
  <c r="O5" i="11"/>
  <c r="P5" i="11" s="1"/>
  <c r="L5" i="11"/>
  <c r="M5" i="11" s="1"/>
  <c r="I5" i="11"/>
  <c r="J5" i="11" s="1"/>
  <c r="F5" i="11"/>
  <c r="G5" i="11" s="1"/>
  <c r="C5" i="11"/>
  <c r="D5" i="11" s="1"/>
  <c r="O4" i="11"/>
  <c r="P4" i="11" s="1"/>
  <c r="L4" i="11"/>
  <c r="M4" i="11" s="1"/>
  <c r="I4" i="11"/>
  <c r="J4" i="11" s="1"/>
  <c r="F4" i="11"/>
  <c r="G4" i="11" s="1"/>
  <c r="C4" i="11"/>
  <c r="D4" i="11" s="1"/>
  <c r="C40" i="11" l="1"/>
  <c r="C41" i="11" s="1"/>
  <c r="G40" i="11"/>
  <c r="G41" i="11" s="1"/>
  <c r="H56" i="11"/>
  <c r="H53" i="11"/>
  <c r="K53" i="11" s="1"/>
  <c r="K52" i="11"/>
  <c r="B30" i="11"/>
  <c r="B40" i="11" s="1"/>
  <c r="B41" i="11" s="1"/>
  <c r="F3" i="11"/>
  <c r="G3" i="11" s="1"/>
  <c r="O3" i="11"/>
  <c r="P3" i="11" s="1"/>
  <c r="L30" i="11"/>
  <c r="M30" i="11" s="1"/>
  <c r="I30" i="11"/>
  <c r="J30" i="11" s="1"/>
  <c r="C30" i="11"/>
  <c r="D30" i="11" s="1"/>
  <c r="O30" i="11"/>
  <c r="P30" i="11" s="1"/>
  <c r="C3" i="11"/>
  <c r="D3" i="11" s="1"/>
  <c r="I3" i="11"/>
  <c r="J3" i="11" s="1"/>
  <c r="L3" i="11"/>
  <c r="M3" i="11" s="1"/>
  <c r="Q48" i="10"/>
  <c r="Q47" i="10"/>
  <c r="H54" i="11" l="1"/>
  <c r="K54" i="11" s="1"/>
  <c r="H49" i="11"/>
  <c r="F30" i="11"/>
  <c r="G30" i="11" s="1"/>
  <c r="U56" i="10"/>
  <c r="H51" i="11" l="1"/>
  <c r="H55" i="11" s="1"/>
  <c r="H57" i="11" s="1"/>
  <c r="K49" i="11"/>
  <c r="K51" i="11" s="1"/>
  <c r="J51" i="10"/>
  <c r="J50" i="10"/>
  <c r="J45" i="9"/>
  <c r="J47" i="10"/>
  <c r="J49" i="10" s="1"/>
  <c r="U57" i="10"/>
  <c r="D52" i="10"/>
  <c r="C52" i="10"/>
  <c r="B52" i="10"/>
  <c r="E51" i="10"/>
  <c r="E50" i="10"/>
  <c r="D49" i="10"/>
  <c r="C49" i="10"/>
  <c r="B49" i="10"/>
  <c r="S48" i="10"/>
  <c r="T48" i="10" s="1"/>
  <c r="V48" i="10" s="1"/>
  <c r="O48" i="10"/>
  <c r="E48" i="10"/>
  <c r="S47" i="10"/>
  <c r="E47" i="10"/>
  <c r="C53" i="10" l="1"/>
  <c r="C55" i="10" s="1"/>
  <c r="E52" i="10"/>
  <c r="E49" i="10"/>
  <c r="D53" i="10"/>
  <c r="J52" i="10"/>
  <c r="J53" i="10" s="1"/>
  <c r="B53" i="10"/>
  <c r="B55" i="10" s="1"/>
  <c r="T47" i="10"/>
  <c r="T49" i="10" s="1"/>
  <c r="S49" i="10"/>
  <c r="B36" i="10"/>
  <c r="C36" i="10"/>
  <c r="D36" i="10"/>
  <c r="E36" i="10"/>
  <c r="F36" i="10"/>
  <c r="G36" i="10"/>
  <c r="U50" i="10" l="1"/>
  <c r="U53" i="10" s="1"/>
  <c r="U49" i="10"/>
  <c r="V47" i="10"/>
  <c r="U27" i="10"/>
  <c r="R27" i="10"/>
  <c r="N27" i="10"/>
  <c r="K27" i="10"/>
  <c r="H27" i="10"/>
  <c r="E27" i="10"/>
  <c r="B27" i="10"/>
  <c r="U54" i="10" l="1"/>
  <c r="U58" i="10" s="1"/>
  <c r="U60" i="10" s="1"/>
  <c r="S26" i="10"/>
  <c r="R26" i="10"/>
  <c r="N26" i="10"/>
  <c r="K26" i="10"/>
  <c r="H26" i="10"/>
  <c r="E26" i="10"/>
  <c r="U25" i="10"/>
  <c r="S25" i="10"/>
  <c r="R25" i="10"/>
  <c r="N25" i="10"/>
  <c r="K25" i="10"/>
  <c r="H25" i="10"/>
  <c r="E25" i="10"/>
  <c r="B25" i="10"/>
  <c r="U24" i="10"/>
  <c r="R24" i="10"/>
  <c r="Q24" i="10"/>
  <c r="N24" i="10"/>
  <c r="K24" i="10"/>
  <c r="H24" i="10"/>
  <c r="E24" i="10"/>
  <c r="B24" i="10"/>
  <c r="H23" i="10" l="1"/>
  <c r="I23" i="10" s="1"/>
  <c r="J23" i="10" s="1"/>
  <c r="U23" i="10"/>
  <c r="R23" i="10"/>
  <c r="Q23" i="10"/>
  <c r="N23" i="10"/>
  <c r="O23" i="10" s="1"/>
  <c r="P23" i="10" s="1"/>
  <c r="K23" i="10"/>
  <c r="L23" i="10" s="1"/>
  <c r="M23" i="10" s="1"/>
  <c r="E23" i="10"/>
  <c r="F23" i="10" s="1"/>
  <c r="G23" i="10" s="1"/>
  <c r="B23" i="10"/>
  <c r="C23" i="10" s="1"/>
  <c r="D23" i="10" s="1"/>
  <c r="S22" i="10" l="1"/>
  <c r="R22" i="10"/>
  <c r="Q22" i="10"/>
  <c r="N22" i="10"/>
  <c r="K22" i="10"/>
  <c r="H22" i="10"/>
  <c r="E22" i="10"/>
  <c r="B22" i="10"/>
  <c r="U21" i="10" l="1"/>
  <c r="R21" i="10"/>
  <c r="Q21" i="10"/>
  <c r="N21" i="10"/>
  <c r="K21" i="10"/>
  <c r="H21" i="10"/>
  <c r="E21" i="10"/>
  <c r="B21" i="10"/>
  <c r="T28" i="10"/>
  <c r="C27" i="10"/>
  <c r="D27" i="10" s="1"/>
  <c r="F27" i="10"/>
  <c r="G27" i="10" s="1"/>
  <c r="I27" i="10"/>
  <c r="J27" i="10" s="1"/>
  <c r="L27" i="10"/>
  <c r="M27" i="10" s="1"/>
  <c r="O27" i="10"/>
  <c r="P27" i="10" s="1"/>
  <c r="F37" i="10" l="1"/>
  <c r="F38" i="10" s="1"/>
  <c r="Q42" i="9"/>
  <c r="U20" i="10" l="1"/>
  <c r="R20" i="10"/>
  <c r="Q20" i="10"/>
  <c r="N20" i="10"/>
  <c r="K20" i="10"/>
  <c r="H20" i="10"/>
  <c r="E20" i="10"/>
  <c r="B20" i="10"/>
  <c r="U19" i="10"/>
  <c r="R19" i="10"/>
  <c r="Q19" i="10"/>
  <c r="N19" i="10"/>
  <c r="K19" i="10"/>
  <c r="H19" i="10"/>
  <c r="E19" i="10"/>
  <c r="B19" i="10"/>
  <c r="U18" i="10"/>
  <c r="R18" i="10"/>
  <c r="Q18" i="10"/>
  <c r="N18" i="10"/>
  <c r="K18" i="10"/>
  <c r="H18" i="10"/>
  <c r="E18" i="10"/>
  <c r="B18" i="10"/>
  <c r="U51" i="9" l="1"/>
  <c r="U52" i="9" s="1"/>
  <c r="Q43" i="9"/>
  <c r="J46" i="9" l="1"/>
  <c r="J47" i="9" l="1"/>
  <c r="J44" i="9"/>
  <c r="E47" i="9"/>
  <c r="D47" i="9"/>
  <c r="E46" i="9"/>
  <c r="E45" i="9"/>
  <c r="E43" i="9"/>
  <c r="E42" i="9"/>
  <c r="E44" i="9" s="1"/>
  <c r="U45" i="9" s="1"/>
  <c r="D44" i="9"/>
  <c r="C47" i="9"/>
  <c r="B47" i="9"/>
  <c r="C44" i="9"/>
  <c r="B44" i="9"/>
  <c r="S43" i="9"/>
  <c r="T43" i="9" s="1"/>
  <c r="V43" i="9" s="1"/>
  <c r="O43" i="9"/>
  <c r="S42" i="9"/>
  <c r="J48" i="9" l="1"/>
  <c r="C48" i="9"/>
  <c r="C50" i="9" s="1"/>
  <c r="B48" i="9"/>
  <c r="B50" i="9" s="1"/>
  <c r="S44" i="9"/>
  <c r="T42" i="9"/>
  <c r="U17" i="10"/>
  <c r="R17" i="10"/>
  <c r="N17" i="10"/>
  <c r="K17" i="10"/>
  <c r="H17" i="10"/>
  <c r="E17" i="10"/>
  <c r="B17" i="10"/>
  <c r="R16" i="10"/>
  <c r="Q16" i="10"/>
  <c r="N16" i="10"/>
  <c r="K16" i="10"/>
  <c r="H16" i="10"/>
  <c r="E16" i="10"/>
  <c r="B16" i="10"/>
  <c r="R15" i="10"/>
  <c r="T44" i="9" l="1"/>
  <c r="U44" i="9" s="1"/>
  <c r="V42" i="9"/>
  <c r="D48" i="9"/>
  <c r="E13" i="10"/>
  <c r="B13" i="10"/>
  <c r="R14" i="10" l="1"/>
  <c r="N14" i="10"/>
  <c r="K14" i="10"/>
  <c r="H14" i="10"/>
  <c r="E14" i="10"/>
  <c r="R13" i="10" l="1"/>
  <c r="U13" i="10"/>
  <c r="Q13" i="10"/>
  <c r="N13" i="10"/>
  <c r="K13" i="10"/>
  <c r="H13" i="10"/>
  <c r="U12" i="10"/>
  <c r="S12" i="10"/>
  <c r="R12" i="10"/>
  <c r="Q12" i="10"/>
  <c r="N12" i="10"/>
  <c r="H12" i="10"/>
  <c r="K12" i="10"/>
  <c r="E12" i="10"/>
  <c r="B12" i="10"/>
  <c r="U11" i="10" l="1"/>
  <c r="R11" i="10"/>
  <c r="Q11" i="10"/>
  <c r="N11" i="10"/>
  <c r="K11" i="10"/>
  <c r="H11" i="10"/>
  <c r="E11" i="10"/>
  <c r="B11" i="10"/>
  <c r="R10" i="10" l="1"/>
  <c r="Q10" i="10"/>
  <c r="N10" i="10"/>
  <c r="K10" i="10"/>
  <c r="H10" i="10"/>
  <c r="E10" i="10"/>
  <c r="B10" i="10"/>
  <c r="R9" i="10" l="1"/>
  <c r="N9" i="10"/>
  <c r="K9" i="10"/>
  <c r="H9" i="10"/>
  <c r="E9" i="10"/>
  <c r="B9" i="10"/>
  <c r="R8" i="10" l="1"/>
  <c r="N8" i="10"/>
  <c r="K8" i="10"/>
  <c r="H8" i="10"/>
  <c r="E8" i="10"/>
  <c r="U7" i="10"/>
  <c r="S7" i="10"/>
  <c r="S28" i="10" s="1"/>
  <c r="R7" i="10"/>
  <c r="Q7" i="10"/>
  <c r="N7" i="10"/>
  <c r="K7" i="10"/>
  <c r="H7" i="10"/>
  <c r="E7" i="10"/>
  <c r="B7" i="10"/>
  <c r="R6" i="10"/>
  <c r="Q6" i="10"/>
  <c r="N6" i="10"/>
  <c r="K6" i="10"/>
  <c r="H6" i="10"/>
  <c r="E6" i="10"/>
  <c r="B6" i="10"/>
  <c r="U5" i="10"/>
  <c r="R5" i="10"/>
  <c r="Q5" i="10"/>
  <c r="N5" i="10"/>
  <c r="K5" i="10"/>
  <c r="H5" i="10"/>
  <c r="E5" i="10"/>
  <c r="B5" i="10"/>
  <c r="U28" i="10" l="1"/>
  <c r="G37" i="10" l="1"/>
  <c r="G38" i="10" s="1"/>
  <c r="U33" i="10"/>
  <c r="U35" i="10" s="1"/>
  <c r="H54" i="10"/>
  <c r="Q4" i="9"/>
  <c r="N4" i="9"/>
  <c r="R4" i="10" l="1"/>
  <c r="Q4" i="10"/>
  <c r="N4" i="10"/>
  <c r="K4" i="10"/>
  <c r="H4" i="10"/>
  <c r="E4" i="10"/>
  <c r="B4" i="10"/>
  <c r="R3" i="10" l="1"/>
  <c r="R28" i="10" s="1"/>
  <c r="Q3" i="10"/>
  <c r="Q28" i="10" s="1"/>
  <c r="N3" i="10"/>
  <c r="N28" i="10" s="1"/>
  <c r="K3" i="10"/>
  <c r="H3" i="10"/>
  <c r="H28" i="10" s="1"/>
  <c r="I28" i="10" s="1"/>
  <c r="J28" i="10" s="1"/>
  <c r="E3" i="10"/>
  <c r="B3" i="10"/>
  <c r="O26" i="10"/>
  <c r="P26" i="10" s="1"/>
  <c r="L26" i="10"/>
  <c r="M26" i="10" s="1"/>
  <c r="I26" i="10"/>
  <c r="J26" i="10" s="1"/>
  <c r="F26" i="10"/>
  <c r="G26" i="10" s="1"/>
  <c r="C26" i="10"/>
  <c r="D26" i="10" s="1"/>
  <c r="O25" i="10"/>
  <c r="P25" i="10" s="1"/>
  <c r="L25" i="10"/>
  <c r="M25" i="10" s="1"/>
  <c r="I25" i="10"/>
  <c r="J25" i="10" s="1"/>
  <c r="F25" i="10"/>
  <c r="G25" i="10" s="1"/>
  <c r="C25" i="10"/>
  <c r="D25" i="10" s="1"/>
  <c r="O24" i="10"/>
  <c r="P24" i="10" s="1"/>
  <c r="L24" i="10"/>
  <c r="M24" i="10" s="1"/>
  <c r="I24" i="10"/>
  <c r="J24" i="10" s="1"/>
  <c r="F24" i="10"/>
  <c r="G24" i="10" s="1"/>
  <c r="C24" i="10"/>
  <c r="D24" i="10" s="1"/>
  <c r="O22" i="10"/>
  <c r="P22" i="10" s="1"/>
  <c r="L22" i="10"/>
  <c r="M22" i="10" s="1"/>
  <c r="I22" i="10"/>
  <c r="J22" i="10" s="1"/>
  <c r="F22" i="10"/>
  <c r="G22" i="10" s="1"/>
  <c r="C22" i="10"/>
  <c r="D22" i="10" s="1"/>
  <c r="O21" i="10"/>
  <c r="P21" i="10" s="1"/>
  <c r="L21" i="10"/>
  <c r="M21" i="10" s="1"/>
  <c r="F21" i="10"/>
  <c r="G21" i="10" s="1"/>
  <c r="C21" i="10"/>
  <c r="D21" i="10" s="1"/>
  <c r="O20" i="10"/>
  <c r="P20" i="10" s="1"/>
  <c r="L20" i="10"/>
  <c r="M20" i="10" s="1"/>
  <c r="I20" i="10"/>
  <c r="J20" i="10" s="1"/>
  <c r="F20" i="10"/>
  <c r="G20" i="10" s="1"/>
  <c r="C20" i="10"/>
  <c r="D20" i="10" s="1"/>
  <c r="O19" i="10"/>
  <c r="P19" i="10" s="1"/>
  <c r="L19" i="10"/>
  <c r="M19" i="10" s="1"/>
  <c r="I19" i="10"/>
  <c r="J19" i="10" s="1"/>
  <c r="F19" i="10"/>
  <c r="G19" i="10" s="1"/>
  <c r="C19" i="10"/>
  <c r="D19" i="10" s="1"/>
  <c r="O18" i="10"/>
  <c r="P18" i="10" s="1"/>
  <c r="L18" i="10"/>
  <c r="M18" i="10" s="1"/>
  <c r="I18" i="10"/>
  <c r="J18" i="10" s="1"/>
  <c r="F18" i="10"/>
  <c r="G18" i="10" s="1"/>
  <c r="C18" i="10"/>
  <c r="D18" i="10" s="1"/>
  <c r="O17" i="10"/>
  <c r="P17" i="10" s="1"/>
  <c r="L17" i="10"/>
  <c r="M17" i="10" s="1"/>
  <c r="F17" i="10"/>
  <c r="G17" i="10" s="1"/>
  <c r="C17" i="10"/>
  <c r="D17" i="10" s="1"/>
  <c r="O16" i="10"/>
  <c r="P16" i="10" s="1"/>
  <c r="L16" i="10"/>
  <c r="M16" i="10" s="1"/>
  <c r="I16" i="10"/>
  <c r="J16" i="10" s="1"/>
  <c r="C16" i="10"/>
  <c r="D16" i="10" s="1"/>
  <c r="O15" i="10"/>
  <c r="P15" i="10" s="1"/>
  <c r="L15" i="10"/>
  <c r="M15" i="10" s="1"/>
  <c r="I15" i="10"/>
  <c r="J15" i="10" s="1"/>
  <c r="F15" i="10"/>
  <c r="G15" i="10" s="1"/>
  <c r="C15" i="10"/>
  <c r="D15" i="10" s="1"/>
  <c r="O14" i="10"/>
  <c r="P14" i="10" s="1"/>
  <c r="L14" i="10"/>
  <c r="M14" i="10" s="1"/>
  <c r="I14" i="10"/>
  <c r="J14" i="10" s="1"/>
  <c r="F14" i="10"/>
  <c r="G14" i="10" s="1"/>
  <c r="C14" i="10"/>
  <c r="D14" i="10" s="1"/>
  <c r="O13" i="10"/>
  <c r="P13" i="10" s="1"/>
  <c r="L13" i="10"/>
  <c r="M13" i="10" s="1"/>
  <c r="I13" i="10"/>
  <c r="J13" i="10" s="1"/>
  <c r="F13" i="10"/>
  <c r="G13" i="10" s="1"/>
  <c r="C13" i="10"/>
  <c r="D13" i="10" s="1"/>
  <c r="O12" i="10"/>
  <c r="P12" i="10" s="1"/>
  <c r="L12" i="10"/>
  <c r="M12" i="10" s="1"/>
  <c r="I12" i="10"/>
  <c r="J12" i="10" s="1"/>
  <c r="F12" i="10"/>
  <c r="G12" i="10" s="1"/>
  <c r="C12" i="10"/>
  <c r="D12" i="10" s="1"/>
  <c r="O11" i="10"/>
  <c r="P11" i="10" s="1"/>
  <c r="L11" i="10"/>
  <c r="M11" i="10" s="1"/>
  <c r="I11" i="10"/>
  <c r="J11" i="10" s="1"/>
  <c r="F11" i="10"/>
  <c r="G11" i="10" s="1"/>
  <c r="C11" i="10"/>
  <c r="D11" i="10" s="1"/>
  <c r="O10" i="10"/>
  <c r="P10" i="10" s="1"/>
  <c r="L10" i="10"/>
  <c r="M10" i="10" s="1"/>
  <c r="I10" i="10"/>
  <c r="J10" i="10" s="1"/>
  <c r="F10" i="10"/>
  <c r="G10" i="10" s="1"/>
  <c r="C10" i="10"/>
  <c r="D10" i="10" s="1"/>
  <c r="O9" i="10"/>
  <c r="P9" i="10" s="1"/>
  <c r="L9" i="10"/>
  <c r="M9" i="10" s="1"/>
  <c r="I9" i="10"/>
  <c r="J9" i="10" s="1"/>
  <c r="F9" i="10"/>
  <c r="G9" i="10" s="1"/>
  <c r="C9" i="10"/>
  <c r="D9" i="10" s="1"/>
  <c r="O8" i="10"/>
  <c r="P8" i="10" s="1"/>
  <c r="L8" i="10"/>
  <c r="M8" i="10" s="1"/>
  <c r="F8" i="10"/>
  <c r="G8" i="10" s="1"/>
  <c r="C8" i="10"/>
  <c r="D8" i="10" s="1"/>
  <c r="O7" i="10"/>
  <c r="P7" i="10" s="1"/>
  <c r="L7" i="10"/>
  <c r="M7" i="10" s="1"/>
  <c r="I7" i="10"/>
  <c r="J7" i="10" s="1"/>
  <c r="F7" i="10"/>
  <c r="G7" i="10" s="1"/>
  <c r="C7" i="10"/>
  <c r="D7" i="10" s="1"/>
  <c r="O6" i="10"/>
  <c r="P6" i="10" s="1"/>
  <c r="L6" i="10"/>
  <c r="M6" i="10" s="1"/>
  <c r="I6" i="10"/>
  <c r="J6" i="10" s="1"/>
  <c r="F6" i="10"/>
  <c r="G6" i="10" s="1"/>
  <c r="C6" i="10"/>
  <c r="D6" i="10" s="1"/>
  <c r="O5" i="10"/>
  <c r="P5" i="10" s="1"/>
  <c r="L5" i="10"/>
  <c r="M5" i="10" s="1"/>
  <c r="I5" i="10"/>
  <c r="J5" i="10" s="1"/>
  <c r="C5" i="10"/>
  <c r="D5" i="10" s="1"/>
  <c r="O4" i="10"/>
  <c r="P4" i="10" s="1"/>
  <c r="L4" i="10"/>
  <c r="M4" i="10" s="1"/>
  <c r="I4" i="10"/>
  <c r="J4" i="10" s="1"/>
  <c r="F4" i="10"/>
  <c r="G4" i="10" s="1"/>
  <c r="C4" i="10"/>
  <c r="D4" i="10" s="1"/>
  <c r="D37" i="10" l="1"/>
  <c r="D38" i="10" s="1"/>
  <c r="H50" i="10"/>
  <c r="E37" i="10"/>
  <c r="E38" i="10" s="1"/>
  <c r="H51" i="10"/>
  <c r="K51" i="10" s="1"/>
  <c r="O3" i="10"/>
  <c r="P3" i="10" s="1"/>
  <c r="B28" i="10"/>
  <c r="F3" i="10"/>
  <c r="G3" i="10" s="1"/>
  <c r="E28" i="10"/>
  <c r="L3" i="10"/>
  <c r="M3" i="10" s="1"/>
  <c r="K28" i="10"/>
  <c r="L28" i="10" s="1"/>
  <c r="M28" i="10" s="1"/>
  <c r="C3" i="10"/>
  <c r="D3" i="10" s="1"/>
  <c r="I3" i="10"/>
  <c r="J3" i="10" s="1"/>
  <c r="F5" i="10"/>
  <c r="G5" i="10" s="1"/>
  <c r="I8" i="10"/>
  <c r="J8" i="10" s="1"/>
  <c r="F16" i="10"/>
  <c r="G16" i="10" s="1"/>
  <c r="I17" i="10"/>
  <c r="J17" i="10" s="1"/>
  <c r="I21" i="10"/>
  <c r="J21" i="10" s="1"/>
  <c r="O28" i="10"/>
  <c r="P28" i="10" s="1"/>
  <c r="X15" i="9"/>
  <c r="X4" i="9"/>
  <c r="W4" i="9"/>
  <c r="X17" i="9"/>
  <c r="K28" i="9"/>
  <c r="B37" i="10" l="1"/>
  <c r="B38" i="10" s="1"/>
  <c r="H47" i="10"/>
  <c r="H48" i="10"/>
  <c r="K48" i="10" s="1"/>
  <c r="K50" i="10"/>
  <c r="H52" i="10"/>
  <c r="F28" i="10"/>
  <c r="G28" i="10" s="1"/>
  <c r="C37" i="10"/>
  <c r="C38" i="10" s="1"/>
  <c r="C28" i="10"/>
  <c r="D28" i="10" s="1"/>
  <c r="N28" i="9"/>
  <c r="H28" i="9"/>
  <c r="E28" i="9"/>
  <c r="B28" i="9"/>
  <c r="X29" i="9"/>
  <c r="R29" i="9"/>
  <c r="Q29" i="9"/>
  <c r="N29" i="9"/>
  <c r="O29" i="9" s="1"/>
  <c r="P29" i="9" s="1"/>
  <c r="K29" i="9"/>
  <c r="H29" i="9"/>
  <c r="I29" i="9" s="1"/>
  <c r="J29" i="9" s="1"/>
  <c r="E29" i="9"/>
  <c r="B29" i="9"/>
  <c r="X28" i="9"/>
  <c r="S28" i="9"/>
  <c r="R28" i="9"/>
  <c r="T28" i="9" s="1"/>
  <c r="L29" i="9"/>
  <c r="M29" i="9" s="1"/>
  <c r="C29" i="9"/>
  <c r="D29" i="9" s="1"/>
  <c r="X27" i="9"/>
  <c r="S27" i="9"/>
  <c r="R27" i="9"/>
  <c r="Q27" i="9"/>
  <c r="N27" i="9"/>
  <c r="K27" i="9"/>
  <c r="H27" i="9"/>
  <c r="E27" i="9"/>
  <c r="B27" i="9"/>
  <c r="R26" i="9"/>
  <c r="Q26" i="9"/>
  <c r="T26" i="9" s="1"/>
  <c r="N26" i="9"/>
  <c r="K26" i="9"/>
  <c r="H26" i="9"/>
  <c r="E26" i="9"/>
  <c r="B26" i="9"/>
  <c r="R25" i="9"/>
  <c r="X25" i="9"/>
  <c r="W25" i="9"/>
  <c r="Q25" i="9"/>
  <c r="N25" i="9"/>
  <c r="K25" i="9"/>
  <c r="H25" i="9"/>
  <c r="E25" i="9"/>
  <c r="B25" i="9"/>
  <c r="R24" i="9"/>
  <c r="Q24" i="9"/>
  <c r="T24" i="9" s="1"/>
  <c r="N24" i="9"/>
  <c r="K24" i="9"/>
  <c r="H24" i="9"/>
  <c r="E24" i="9"/>
  <c r="B24" i="9"/>
  <c r="U24" i="9" l="1"/>
  <c r="U27" i="9"/>
  <c r="U26" i="9"/>
  <c r="K47" i="10"/>
  <c r="K49" i="10" s="1"/>
  <c r="H49" i="10"/>
  <c r="U28" i="9"/>
  <c r="V28" i="9" s="1"/>
  <c r="V26" i="9"/>
  <c r="U25" i="9"/>
  <c r="V24" i="9"/>
  <c r="K52" i="10"/>
  <c r="H53" i="10"/>
  <c r="H55" i="10" s="1"/>
  <c r="F29" i="9"/>
  <c r="G29" i="9" s="1"/>
  <c r="U29" i="9"/>
  <c r="T25" i="9"/>
  <c r="V25" i="9" s="1"/>
  <c r="T27" i="9"/>
  <c r="T29" i="9"/>
  <c r="X20" i="9"/>
  <c r="R20" i="9"/>
  <c r="Q20" i="9"/>
  <c r="T20" i="9" s="1"/>
  <c r="N20" i="9"/>
  <c r="O20" i="9" s="1"/>
  <c r="P20" i="9" s="1"/>
  <c r="K20" i="9"/>
  <c r="H20" i="9"/>
  <c r="E20" i="9"/>
  <c r="B20" i="9"/>
  <c r="C20" i="9" s="1"/>
  <c r="D20" i="9" s="1"/>
  <c r="R21" i="9"/>
  <c r="Q21" i="9"/>
  <c r="N21" i="9"/>
  <c r="O21" i="9" s="1"/>
  <c r="P21" i="9" s="1"/>
  <c r="K21" i="9"/>
  <c r="L21" i="9" s="1"/>
  <c r="M21" i="9" s="1"/>
  <c r="H21" i="9"/>
  <c r="E21" i="9"/>
  <c r="B21" i="9"/>
  <c r="C21" i="9" s="1"/>
  <c r="D21" i="9" s="1"/>
  <c r="X22" i="9"/>
  <c r="W22" i="9"/>
  <c r="S22" i="9"/>
  <c r="R22" i="9"/>
  <c r="Q22" i="9"/>
  <c r="T22" i="9" s="1"/>
  <c r="N22" i="9"/>
  <c r="O22" i="9" s="1"/>
  <c r="P22" i="9" s="1"/>
  <c r="K22" i="9"/>
  <c r="L22" i="9" s="1"/>
  <c r="M22" i="9" s="1"/>
  <c r="H22" i="9"/>
  <c r="I22" i="9" s="1"/>
  <c r="J22" i="9" s="1"/>
  <c r="E22" i="9"/>
  <c r="U22" i="9" s="1"/>
  <c r="B22" i="9"/>
  <c r="C22" i="9" s="1"/>
  <c r="D22" i="9" s="1"/>
  <c r="E23" i="9"/>
  <c r="H23" i="9"/>
  <c r="X23" i="9"/>
  <c r="R23" i="9"/>
  <c r="T23" i="9" s="1"/>
  <c r="N23" i="9"/>
  <c r="K23" i="9"/>
  <c r="L23" i="9" s="1"/>
  <c r="M23" i="9" s="1"/>
  <c r="B23" i="9"/>
  <c r="R19" i="9"/>
  <c r="Q19" i="9"/>
  <c r="T19" i="9" s="1"/>
  <c r="N19" i="9"/>
  <c r="K19" i="9"/>
  <c r="H19" i="9"/>
  <c r="E19" i="9"/>
  <c r="U19" i="9" s="1"/>
  <c r="B19" i="9"/>
  <c r="C19" i="9" s="1"/>
  <c r="D19" i="9" s="1"/>
  <c r="H18" i="9"/>
  <c r="I18" i="9" s="1"/>
  <c r="J18" i="9" s="1"/>
  <c r="S18" i="9"/>
  <c r="R18" i="9"/>
  <c r="Q18" i="9"/>
  <c r="T18" i="9" s="1"/>
  <c r="N18" i="9"/>
  <c r="K18" i="9"/>
  <c r="E18" i="9"/>
  <c r="B18" i="9"/>
  <c r="P4" i="8"/>
  <c r="P5" i="8"/>
  <c r="P6" i="8"/>
  <c r="P8" i="8"/>
  <c r="P9" i="8"/>
  <c r="P10" i="8"/>
  <c r="P11" i="8"/>
  <c r="P27" i="8"/>
  <c r="O4" i="8"/>
  <c r="O5" i="8"/>
  <c r="O6" i="8"/>
  <c r="O8" i="8"/>
  <c r="O9" i="8"/>
  <c r="O10" i="8"/>
  <c r="O11" i="8"/>
  <c r="O13" i="8"/>
  <c r="P13" i="8" s="1"/>
  <c r="O15" i="8"/>
  <c r="P15" i="8" s="1"/>
  <c r="O16" i="8"/>
  <c r="P16" i="8" s="1"/>
  <c r="O17" i="8"/>
  <c r="P17" i="8" s="1"/>
  <c r="O27" i="8"/>
  <c r="O29" i="8"/>
  <c r="P29" i="8" s="1"/>
  <c r="M7" i="8"/>
  <c r="M23" i="8"/>
  <c r="L7" i="8"/>
  <c r="L9" i="8"/>
  <c r="M9" i="8" s="1"/>
  <c r="L11" i="8"/>
  <c r="M11" i="8" s="1"/>
  <c r="L12" i="8"/>
  <c r="M12" i="8" s="1"/>
  <c r="L13" i="8"/>
  <c r="M13" i="8" s="1"/>
  <c r="L14" i="8"/>
  <c r="M14" i="8" s="1"/>
  <c r="L23" i="8"/>
  <c r="L25" i="8"/>
  <c r="M25" i="8" s="1"/>
  <c r="L27" i="8"/>
  <c r="M27" i="8" s="1"/>
  <c r="L28" i="8"/>
  <c r="M28" i="8" s="1"/>
  <c r="L29" i="8"/>
  <c r="M29" i="8" s="1"/>
  <c r="J19" i="8"/>
  <c r="I5" i="8"/>
  <c r="J5" i="8" s="1"/>
  <c r="I7" i="8"/>
  <c r="J7" i="8" s="1"/>
  <c r="I9" i="8"/>
  <c r="J9" i="8" s="1"/>
  <c r="I10" i="8"/>
  <c r="J10" i="8" s="1"/>
  <c r="I19" i="8"/>
  <c r="I21" i="8"/>
  <c r="J21" i="8" s="1"/>
  <c r="I23" i="8"/>
  <c r="J23" i="8" s="1"/>
  <c r="I25" i="8"/>
  <c r="J25" i="8" s="1"/>
  <c r="G15" i="8"/>
  <c r="F5" i="8"/>
  <c r="G5" i="8" s="1"/>
  <c r="F6" i="8"/>
  <c r="G6" i="8" s="1"/>
  <c r="F15" i="8"/>
  <c r="F17" i="8"/>
  <c r="G17" i="8" s="1"/>
  <c r="F19" i="8"/>
  <c r="G19" i="8" s="1"/>
  <c r="F20" i="8"/>
  <c r="G20" i="8" s="1"/>
  <c r="F21" i="8"/>
  <c r="G21" i="8" s="1"/>
  <c r="C5" i="8"/>
  <c r="D5" i="8" s="1"/>
  <c r="C9" i="8"/>
  <c r="D9" i="8" s="1"/>
  <c r="C10" i="8"/>
  <c r="D10" i="8" s="1"/>
  <c r="C11" i="8"/>
  <c r="D11" i="8" s="1"/>
  <c r="C21" i="8"/>
  <c r="C25" i="8"/>
  <c r="C26" i="8"/>
  <c r="D26" i="8" s="1"/>
  <c r="C27" i="8"/>
  <c r="D27" i="8" s="1"/>
  <c r="C29" i="8"/>
  <c r="D29" i="8" s="1"/>
  <c r="D21" i="8"/>
  <c r="D25" i="8"/>
  <c r="R17" i="9"/>
  <c r="Q17" i="9"/>
  <c r="T17" i="9" s="1"/>
  <c r="N17" i="9"/>
  <c r="O17" i="9" s="1"/>
  <c r="P17" i="9" s="1"/>
  <c r="K17" i="9"/>
  <c r="H17" i="9"/>
  <c r="I17" i="9" s="1"/>
  <c r="J17" i="9" s="1"/>
  <c r="E17" i="9"/>
  <c r="B17" i="9"/>
  <c r="X16" i="9"/>
  <c r="W16" i="9"/>
  <c r="W30" i="9" s="1"/>
  <c r="S16" i="9"/>
  <c r="R16" i="9"/>
  <c r="Q16" i="9"/>
  <c r="N16" i="9"/>
  <c r="K16" i="9"/>
  <c r="L16" i="9" s="1"/>
  <c r="M16" i="9" s="1"/>
  <c r="H16" i="9"/>
  <c r="I16" i="9" s="1"/>
  <c r="J16" i="9" s="1"/>
  <c r="E16" i="9"/>
  <c r="B16" i="9"/>
  <c r="R15" i="9"/>
  <c r="Q15" i="9"/>
  <c r="T15" i="9" s="1"/>
  <c r="N15" i="9"/>
  <c r="K15" i="9"/>
  <c r="H15" i="9"/>
  <c r="I15" i="9" s="1"/>
  <c r="J15" i="9" s="1"/>
  <c r="E15" i="9"/>
  <c r="B15" i="9"/>
  <c r="R14" i="9"/>
  <c r="Q14" i="9"/>
  <c r="T14" i="9" s="1"/>
  <c r="N14" i="9"/>
  <c r="O14" i="9" s="1"/>
  <c r="P14" i="9" s="1"/>
  <c r="K14" i="9"/>
  <c r="L14" i="9" s="1"/>
  <c r="M14" i="9" s="1"/>
  <c r="H14" i="9"/>
  <c r="E14" i="9"/>
  <c r="B14" i="9"/>
  <c r="R13" i="9"/>
  <c r="Q13" i="9"/>
  <c r="T13" i="9" s="1"/>
  <c r="N13" i="9"/>
  <c r="K13" i="9"/>
  <c r="L13" i="9" s="1"/>
  <c r="M13" i="9" s="1"/>
  <c r="H13" i="9"/>
  <c r="I13" i="9" s="1"/>
  <c r="J13" i="9" s="1"/>
  <c r="E13" i="9"/>
  <c r="B13" i="9"/>
  <c r="C13" i="9" s="1"/>
  <c r="D13" i="9" s="1"/>
  <c r="S12" i="9"/>
  <c r="X12" i="9"/>
  <c r="R12" i="9"/>
  <c r="Q12" i="9"/>
  <c r="T12" i="9" s="1"/>
  <c r="N12" i="9"/>
  <c r="O12" i="9" s="1"/>
  <c r="P12" i="9" s="1"/>
  <c r="K12" i="9"/>
  <c r="L12" i="9" s="1"/>
  <c r="M12" i="9" s="1"/>
  <c r="H12" i="9"/>
  <c r="E12" i="9"/>
  <c r="B12" i="9"/>
  <c r="C12" i="9" s="1"/>
  <c r="D12" i="9" s="1"/>
  <c r="X11" i="9"/>
  <c r="R11" i="9"/>
  <c r="Q11" i="9"/>
  <c r="T11" i="9" s="1"/>
  <c r="N11" i="9"/>
  <c r="O11" i="9" s="1"/>
  <c r="P11" i="9" s="1"/>
  <c r="K11" i="9"/>
  <c r="L11" i="9" s="1"/>
  <c r="M11" i="9" s="1"/>
  <c r="H11" i="9"/>
  <c r="I11" i="9" s="1"/>
  <c r="J11" i="9" s="1"/>
  <c r="E11" i="9"/>
  <c r="B11" i="9"/>
  <c r="C11" i="9" s="1"/>
  <c r="D11" i="9" s="1"/>
  <c r="X10" i="9"/>
  <c r="R10" i="9"/>
  <c r="Q10" i="9"/>
  <c r="T10" i="9" s="1"/>
  <c r="N10" i="9"/>
  <c r="O10" i="9" s="1"/>
  <c r="P10" i="9" s="1"/>
  <c r="K10" i="9"/>
  <c r="L10" i="9" s="1"/>
  <c r="M10" i="9" s="1"/>
  <c r="H10" i="9"/>
  <c r="I10" i="9" s="1"/>
  <c r="J10" i="9" s="1"/>
  <c r="E10" i="9"/>
  <c r="B10" i="9"/>
  <c r="C10" i="9" s="1"/>
  <c r="D10" i="9" s="1"/>
  <c r="X9" i="9"/>
  <c r="R9" i="9"/>
  <c r="Q9" i="9"/>
  <c r="T9" i="9" s="1"/>
  <c r="N9" i="9"/>
  <c r="O9" i="9" s="1"/>
  <c r="P9" i="9" s="1"/>
  <c r="K9" i="9"/>
  <c r="L9" i="9" s="1"/>
  <c r="M9" i="9" s="1"/>
  <c r="H9" i="9"/>
  <c r="I9" i="9" s="1"/>
  <c r="J9" i="9" s="1"/>
  <c r="E9" i="9"/>
  <c r="B9" i="9"/>
  <c r="C9" i="9" s="1"/>
  <c r="D9" i="9" s="1"/>
  <c r="X8" i="9"/>
  <c r="X30" i="9" s="1"/>
  <c r="X33" i="9" s="1"/>
  <c r="X35" i="9" s="1"/>
  <c r="R8" i="9"/>
  <c r="Q8" i="9"/>
  <c r="T8" i="9" s="1"/>
  <c r="N8" i="9"/>
  <c r="O8" i="9" s="1"/>
  <c r="P8" i="9" s="1"/>
  <c r="K8" i="9"/>
  <c r="L8" i="9" s="1"/>
  <c r="M8" i="9" s="1"/>
  <c r="H8" i="9"/>
  <c r="E8" i="9"/>
  <c r="B8" i="9"/>
  <c r="C8" i="9" s="1"/>
  <c r="D8" i="9" s="1"/>
  <c r="R7" i="9"/>
  <c r="Q7" i="9"/>
  <c r="T7" i="9" s="1"/>
  <c r="N7" i="9"/>
  <c r="O7" i="9" s="1"/>
  <c r="P7" i="9" s="1"/>
  <c r="K7" i="9"/>
  <c r="L7" i="9" s="1"/>
  <c r="M7" i="9" s="1"/>
  <c r="H7" i="9"/>
  <c r="E7" i="9"/>
  <c r="U7" i="9" s="1"/>
  <c r="B7" i="9"/>
  <c r="C7" i="9" s="1"/>
  <c r="D7" i="9" s="1"/>
  <c r="N5" i="9"/>
  <c r="O5" i="9" s="1"/>
  <c r="P5" i="9" s="1"/>
  <c r="B5" i="9"/>
  <c r="C5" i="9" s="1"/>
  <c r="D5" i="9" s="1"/>
  <c r="E5" i="9"/>
  <c r="U5" i="9" s="1"/>
  <c r="R5" i="9"/>
  <c r="Q5" i="9"/>
  <c r="K5" i="9"/>
  <c r="L5" i="9" s="1"/>
  <c r="M5" i="9" s="1"/>
  <c r="H5" i="9"/>
  <c r="I5" i="9" s="1"/>
  <c r="J5" i="9" s="1"/>
  <c r="S4" i="9"/>
  <c r="R4" i="9"/>
  <c r="O4" i="9"/>
  <c r="P4" i="9" s="1"/>
  <c r="K4" i="9"/>
  <c r="H4" i="9"/>
  <c r="I4" i="9" s="1"/>
  <c r="J4" i="9" s="1"/>
  <c r="E4" i="9"/>
  <c r="B4" i="9"/>
  <c r="C4" i="9" s="1"/>
  <c r="D4" i="9" s="1"/>
  <c r="R3" i="9"/>
  <c r="Q3" i="9"/>
  <c r="N3" i="9"/>
  <c r="O3" i="9" s="1"/>
  <c r="P3" i="9" s="1"/>
  <c r="K3" i="9"/>
  <c r="H3" i="9"/>
  <c r="H30" i="9" s="1"/>
  <c r="E3" i="9"/>
  <c r="B3" i="9"/>
  <c r="E6" i="9"/>
  <c r="X6" i="9"/>
  <c r="R6" i="9"/>
  <c r="Q6" i="9"/>
  <c r="N6" i="9"/>
  <c r="O6" i="9" s="1"/>
  <c r="P6" i="9" s="1"/>
  <c r="K6" i="9"/>
  <c r="H6" i="9"/>
  <c r="B6" i="9"/>
  <c r="O28" i="9"/>
  <c r="P28" i="9" s="1"/>
  <c r="L28" i="9"/>
  <c r="M28" i="9" s="1"/>
  <c r="I28" i="9"/>
  <c r="J28" i="9" s="1"/>
  <c r="F28" i="9"/>
  <c r="G28" i="9" s="1"/>
  <c r="C28" i="9"/>
  <c r="D28" i="9" s="1"/>
  <c r="O27" i="9"/>
  <c r="P27" i="9" s="1"/>
  <c r="L27" i="9"/>
  <c r="M27" i="9" s="1"/>
  <c r="I27" i="9"/>
  <c r="J27" i="9" s="1"/>
  <c r="F27" i="9"/>
  <c r="G27" i="9" s="1"/>
  <c r="C27" i="9"/>
  <c r="D27" i="9" s="1"/>
  <c r="O26" i="9"/>
  <c r="P26" i="9" s="1"/>
  <c r="L26" i="9"/>
  <c r="M26" i="9" s="1"/>
  <c r="I26" i="9"/>
  <c r="J26" i="9" s="1"/>
  <c r="F26" i="9"/>
  <c r="G26" i="9" s="1"/>
  <c r="C26" i="9"/>
  <c r="D26" i="9" s="1"/>
  <c r="O25" i="9"/>
  <c r="P25" i="9" s="1"/>
  <c r="L25" i="9"/>
  <c r="M25" i="9" s="1"/>
  <c r="I25" i="9"/>
  <c r="J25" i="9" s="1"/>
  <c r="F25" i="9"/>
  <c r="G25" i="9" s="1"/>
  <c r="C25" i="9"/>
  <c r="D25" i="9" s="1"/>
  <c r="O24" i="9"/>
  <c r="P24" i="9" s="1"/>
  <c r="L24" i="9"/>
  <c r="M24" i="9" s="1"/>
  <c r="I24" i="9"/>
  <c r="J24" i="9" s="1"/>
  <c r="F24" i="9"/>
  <c r="G24" i="9" s="1"/>
  <c r="C24" i="9"/>
  <c r="D24" i="9" s="1"/>
  <c r="O23" i="9"/>
  <c r="P23" i="9" s="1"/>
  <c r="I23" i="9"/>
  <c r="J23" i="9" s="1"/>
  <c r="C23" i="9"/>
  <c r="D23" i="9" s="1"/>
  <c r="I21" i="9"/>
  <c r="J21" i="9" s="1"/>
  <c r="F21" i="9"/>
  <c r="G21" i="9" s="1"/>
  <c r="L20" i="9"/>
  <c r="M20" i="9" s="1"/>
  <c r="I20" i="9"/>
  <c r="J20" i="9" s="1"/>
  <c r="F20" i="9"/>
  <c r="G20" i="9" s="1"/>
  <c r="O19" i="9"/>
  <c r="P19" i="9" s="1"/>
  <c r="L19" i="9"/>
  <c r="M19" i="9" s="1"/>
  <c r="I19" i="9"/>
  <c r="J19" i="9" s="1"/>
  <c r="F19" i="9"/>
  <c r="G19" i="9" s="1"/>
  <c r="O18" i="9"/>
  <c r="P18" i="9" s="1"/>
  <c r="L18" i="9"/>
  <c r="M18" i="9" s="1"/>
  <c r="F18" i="9"/>
  <c r="G18" i="9" s="1"/>
  <c r="C18" i="9"/>
  <c r="D18" i="9" s="1"/>
  <c r="L17" i="9"/>
  <c r="M17" i="9" s="1"/>
  <c r="C17" i="9"/>
  <c r="D17" i="9" s="1"/>
  <c r="O16" i="9"/>
  <c r="P16" i="9" s="1"/>
  <c r="C16" i="9"/>
  <c r="D16" i="9" s="1"/>
  <c r="O15" i="9"/>
  <c r="P15" i="9" s="1"/>
  <c r="L15" i="9"/>
  <c r="M15" i="9" s="1"/>
  <c r="C15" i="9"/>
  <c r="D15" i="9" s="1"/>
  <c r="I14" i="9"/>
  <c r="J14" i="9" s="1"/>
  <c r="C14" i="9"/>
  <c r="D14" i="9" s="1"/>
  <c r="O13" i="9"/>
  <c r="P13" i="9" s="1"/>
  <c r="I12" i="9"/>
  <c r="J12" i="9" s="1"/>
  <c r="I8" i="9"/>
  <c r="J8" i="9" s="1"/>
  <c r="F8" i="9"/>
  <c r="G8" i="9" s="1"/>
  <c r="I7" i="9"/>
  <c r="J7" i="9" s="1"/>
  <c r="L6" i="9"/>
  <c r="M6" i="9" s="1"/>
  <c r="I6" i="9"/>
  <c r="J6" i="9" s="1"/>
  <c r="C6" i="9"/>
  <c r="D6" i="9" s="1"/>
  <c r="F4" i="9"/>
  <c r="G4" i="9" s="1"/>
  <c r="T25" i="8"/>
  <c r="U29" i="8"/>
  <c r="R29" i="8"/>
  <c r="N29" i="8"/>
  <c r="K29" i="8"/>
  <c r="H29" i="8"/>
  <c r="I29" i="8" s="1"/>
  <c r="J29" i="8" s="1"/>
  <c r="E29" i="8"/>
  <c r="F29" i="8" s="1"/>
  <c r="G29" i="8" s="1"/>
  <c r="B29" i="8"/>
  <c r="U28" i="8"/>
  <c r="R28" i="8"/>
  <c r="Q28" i="8"/>
  <c r="N28" i="8"/>
  <c r="O28" i="8" s="1"/>
  <c r="P28" i="8" s="1"/>
  <c r="K28" i="8"/>
  <c r="H28" i="8"/>
  <c r="I28" i="8" s="1"/>
  <c r="J28" i="8" s="1"/>
  <c r="E28" i="8"/>
  <c r="F28" i="8" s="1"/>
  <c r="G28" i="8" s="1"/>
  <c r="B28" i="8"/>
  <c r="C28" i="8" s="1"/>
  <c r="D28" i="8" s="1"/>
  <c r="U27" i="8"/>
  <c r="R27" i="8"/>
  <c r="Q27" i="8"/>
  <c r="N27" i="8"/>
  <c r="K27" i="8"/>
  <c r="H27" i="8"/>
  <c r="I27" i="8" s="1"/>
  <c r="J27" i="8" s="1"/>
  <c r="E27" i="8"/>
  <c r="F27" i="8" s="1"/>
  <c r="G27" i="8" s="1"/>
  <c r="B27" i="8"/>
  <c r="B26" i="8"/>
  <c r="U26" i="8"/>
  <c r="S26" i="8"/>
  <c r="R26" i="8"/>
  <c r="Q26" i="8"/>
  <c r="N26" i="8"/>
  <c r="O26" i="8" s="1"/>
  <c r="P26" i="8" s="1"/>
  <c r="K26" i="8"/>
  <c r="L26" i="8" s="1"/>
  <c r="M26" i="8" s="1"/>
  <c r="H26" i="8"/>
  <c r="I26" i="8" s="1"/>
  <c r="J26" i="8" s="1"/>
  <c r="E26" i="8"/>
  <c r="F26" i="8" s="1"/>
  <c r="G26" i="8" s="1"/>
  <c r="U25" i="8"/>
  <c r="Q25" i="8"/>
  <c r="R25" i="8"/>
  <c r="N25" i="8"/>
  <c r="O25" i="8" s="1"/>
  <c r="P25" i="8" s="1"/>
  <c r="K25" i="8"/>
  <c r="H25" i="8"/>
  <c r="E25" i="8"/>
  <c r="F25" i="8" s="1"/>
  <c r="G25" i="8" s="1"/>
  <c r="B25" i="8"/>
  <c r="U24" i="8"/>
  <c r="R24" i="8"/>
  <c r="Q24" i="8"/>
  <c r="N24" i="8"/>
  <c r="O24" i="8" s="1"/>
  <c r="P24" i="8" s="1"/>
  <c r="K24" i="8"/>
  <c r="L24" i="8" s="1"/>
  <c r="M24" i="8" s="1"/>
  <c r="H24" i="8"/>
  <c r="I24" i="8" s="1"/>
  <c r="J24" i="8" s="1"/>
  <c r="E24" i="8"/>
  <c r="F24" i="8" s="1"/>
  <c r="G24" i="8" s="1"/>
  <c r="B24" i="8"/>
  <c r="C24" i="8" s="1"/>
  <c r="D24" i="8" s="1"/>
  <c r="U23" i="8"/>
  <c r="R23" i="8"/>
  <c r="Q23" i="8"/>
  <c r="N23" i="8"/>
  <c r="O23" i="8" s="1"/>
  <c r="P23" i="8" s="1"/>
  <c r="K23" i="8"/>
  <c r="H23" i="8"/>
  <c r="E23" i="8"/>
  <c r="F23" i="8" s="1"/>
  <c r="G23" i="8" s="1"/>
  <c r="B23" i="8"/>
  <c r="C23" i="8" s="1"/>
  <c r="D23" i="8" s="1"/>
  <c r="B22" i="8"/>
  <c r="C22" i="8" s="1"/>
  <c r="D22" i="8" s="1"/>
  <c r="R22" i="8"/>
  <c r="Q22" i="8"/>
  <c r="N22" i="8"/>
  <c r="O22" i="8" s="1"/>
  <c r="P22" i="8" s="1"/>
  <c r="K22" i="8"/>
  <c r="L22" i="8" s="1"/>
  <c r="M22" i="8" s="1"/>
  <c r="H22" i="8"/>
  <c r="I22" i="8" s="1"/>
  <c r="J22" i="8" s="1"/>
  <c r="E22" i="8"/>
  <c r="F22" i="8" s="1"/>
  <c r="G22" i="8" s="1"/>
  <c r="U21" i="8"/>
  <c r="R21" i="8"/>
  <c r="Q21" i="8"/>
  <c r="N21" i="8"/>
  <c r="O21" i="8" s="1"/>
  <c r="P21" i="8" s="1"/>
  <c r="K21" i="8"/>
  <c r="L21" i="8" s="1"/>
  <c r="M21" i="8" s="1"/>
  <c r="H21" i="8"/>
  <c r="E21" i="8"/>
  <c r="B21" i="8"/>
  <c r="R20" i="8"/>
  <c r="Q20" i="8"/>
  <c r="N20" i="8"/>
  <c r="O20" i="8" s="1"/>
  <c r="P20" i="8" s="1"/>
  <c r="K20" i="8"/>
  <c r="L20" i="8" s="1"/>
  <c r="M20" i="8" s="1"/>
  <c r="H20" i="8"/>
  <c r="I20" i="8" s="1"/>
  <c r="J20" i="8" s="1"/>
  <c r="E20" i="8"/>
  <c r="B20" i="8"/>
  <c r="C20" i="8" s="1"/>
  <c r="D20" i="8" s="1"/>
  <c r="T19" i="8"/>
  <c r="U19" i="8"/>
  <c r="R19" i="8"/>
  <c r="S19" i="8"/>
  <c r="Q19" i="8"/>
  <c r="N19" i="8"/>
  <c r="O19" i="8" s="1"/>
  <c r="P19" i="8" s="1"/>
  <c r="K19" i="8"/>
  <c r="L19" i="8" s="1"/>
  <c r="M19" i="8" s="1"/>
  <c r="H19" i="8"/>
  <c r="E19" i="8"/>
  <c r="B19" i="8"/>
  <c r="C19" i="8" s="1"/>
  <c r="D19" i="8" s="1"/>
  <c r="U18" i="8"/>
  <c r="R18" i="8"/>
  <c r="S18" i="8"/>
  <c r="Q18" i="8"/>
  <c r="N18" i="8"/>
  <c r="O18" i="8" s="1"/>
  <c r="P18" i="8" s="1"/>
  <c r="K18" i="8"/>
  <c r="L18" i="8" s="1"/>
  <c r="M18" i="8" s="1"/>
  <c r="H18" i="8"/>
  <c r="I18" i="8" s="1"/>
  <c r="J18" i="8" s="1"/>
  <c r="E18" i="8"/>
  <c r="F18" i="8" s="1"/>
  <c r="G18" i="8" s="1"/>
  <c r="B18" i="8"/>
  <c r="C18" i="8" s="1"/>
  <c r="D18" i="8" s="1"/>
  <c r="R17" i="8"/>
  <c r="Q17" i="8"/>
  <c r="N17" i="8"/>
  <c r="K17" i="8"/>
  <c r="L17" i="8" s="1"/>
  <c r="M17" i="8" s="1"/>
  <c r="H17" i="8"/>
  <c r="I17" i="8" s="1"/>
  <c r="J17" i="8" s="1"/>
  <c r="E17" i="8"/>
  <c r="B17" i="8"/>
  <c r="C17" i="8" s="1"/>
  <c r="D17" i="8" s="1"/>
  <c r="U16" i="8"/>
  <c r="R16" i="8"/>
  <c r="N16" i="8"/>
  <c r="K16" i="8"/>
  <c r="L16" i="8" s="1"/>
  <c r="M16" i="8" s="1"/>
  <c r="H16" i="8"/>
  <c r="I16" i="8" s="1"/>
  <c r="J16" i="8" s="1"/>
  <c r="E16" i="8"/>
  <c r="F16" i="8" s="1"/>
  <c r="G16" i="8" s="1"/>
  <c r="B16" i="8"/>
  <c r="C16" i="8" s="1"/>
  <c r="D16" i="8" s="1"/>
  <c r="R15" i="8"/>
  <c r="Q15" i="8"/>
  <c r="N15" i="8"/>
  <c r="K15" i="8"/>
  <c r="L15" i="8" s="1"/>
  <c r="M15" i="8" s="1"/>
  <c r="H15" i="8"/>
  <c r="I15" i="8" s="1"/>
  <c r="J15" i="8" s="1"/>
  <c r="E15" i="8"/>
  <c r="B15" i="8"/>
  <c r="C15" i="8" s="1"/>
  <c r="D15" i="8" s="1"/>
  <c r="B14" i="8"/>
  <c r="C14" i="8" s="1"/>
  <c r="D14" i="8" s="1"/>
  <c r="K14" i="8"/>
  <c r="N14" i="8"/>
  <c r="O14" i="8" s="1"/>
  <c r="P14" i="8" s="1"/>
  <c r="H14" i="8"/>
  <c r="I14" i="8" s="1"/>
  <c r="J14" i="8" s="1"/>
  <c r="E14" i="8"/>
  <c r="F14" i="8" s="1"/>
  <c r="G14" i="8" s="1"/>
  <c r="R14" i="8"/>
  <c r="U14" i="8"/>
  <c r="Q14" i="8"/>
  <c r="U13" i="8"/>
  <c r="R13" i="8"/>
  <c r="Q13" i="8"/>
  <c r="N13" i="8"/>
  <c r="K13" i="8"/>
  <c r="H13" i="8"/>
  <c r="I13" i="8" s="1"/>
  <c r="J13" i="8" s="1"/>
  <c r="E13" i="8"/>
  <c r="F13" i="8" s="1"/>
  <c r="G13" i="8" s="1"/>
  <c r="B13" i="8"/>
  <c r="C13" i="8" s="1"/>
  <c r="D13" i="8" s="1"/>
  <c r="U12" i="8"/>
  <c r="R12" i="8"/>
  <c r="Q12" i="8"/>
  <c r="N12" i="8"/>
  <c r="O12" i="8" s="1"/>
  <c r="P12" i="8" s="1"/>
  <c r="K12" i="8"/>
  <c r="H12" i="8"/>
  <c r="I12" i="8" s="1"/>
  <c r="J12" i="8" s="1"/>
  <c r="E12" i="8"/>
  <c r="F12" i="8" s="1"/>
  <c r="G12" i="8" s="1"/>
  <c r="B12" i="8"/>
  <c r="C12" i="8" s="1"/>
  <c r="D12" i="8" s="1"/>
  <c r="R11" i="8"/>
  <c r="Q11" i="8"/>
  <c r="K11" i="8"/>
  <c r="H11" i="8"/>
  <c r="I11" i="8" s="1"/>
  <c r="J11" i="8" s="1"/>
  <c r="E11" i="8"/>
  <c r="F11" i="8" s="1"/>
  <c r="G11" i="8" s="1"/>
  <c r="B11" i="8"/>
  <c r="R10" i="8"/>
  <c r="Q10" i="8"/>
  <c r="K10" i="8"/>
  <c r="L10" i="8" s="1"/>
  <c r="M10" i="8" s="1"/>
  <c r="H10" i="8"/>
  <c r="E10" i="8"/>
  <c r="F10" i="8" s="1"/>
  <c r="G10" i="8" s="1"/>
  <c r="B10" i="8"/>
  <c r="R9" i="8"/>
  <c r="K4" i="8"/>
  <c r="L4" i="8" s="1"/>
  <c r="M4" i="8" s="1"/>
  <c r="H4" i="8"/>
  <c r="I4" i="8" s="1"/>
  <c r="J4" i="8" s="1"/>
  <c r="E4" i="8"/>
  <c r="F4" i="8" s="1"/>
  <c r="G4" i="8" s="1"/>
  <c r="B4" i="8"/>
  <c r="C4" i="8" s="1"/>
  <c r="D4" i="8" s="1"/>
  <c r="R4" i="8"/>
  <c r="U3" i="8"/>
  <c r="U9" i="8"/>
  <c r="Q9" i="8"/>
  <c r="K9" i="8"/>
  <c r="H9" i="8"/>
  <c r="E9" i="8"/>
  <c r="F9" i="8" s="1"/>
  <c r="G9" i="8" s="1"/>
  <c r="B9" i="8"/>
  <c r="U8" i="8"/>
  <c r="U6" i="8"/>
  <c r="E8" i="8"/>
  <c r="F8" i="8" s="1"/>
  <c r="G8" i="8" s="1"/>
  <c r="R8" i="8"/>
  <c r="K8" i="8"/>
  <c r="L8" i="8" s="1"/>
  <c r="M8" i="8" s="1"/>
  <c r="H8" i="8"/>
  <c r="I8" i="8" s="1"/>
  <c r="J8" i="8" s="1"/>
  <c r="B8" i="8"/>
  <c r="C8" i="8" s="1"/>
  <c r="D8" i="8" s="1"/>
  <c r="R7" i="8"/>
  <c r="S7" i="8"/>
  <c r="U7" i="8"/>
  <c r="Q7" i="8"/>
  <c r="N7" i="8"/>
  <c r="O7" i="8" s="1"/>
  <c r="P7" i="8" s="1"/>
  <c r="K7" i="8"/>
  <c r="H7" i="8"/>
  <c r="E7" i="8"/>
  <c r="F7" i="8" s="1"/>
  <c r="G7" i="8" s="1"/>
  <c r="B7" i="8"/>
  <c r="C7" i="8" s="1"/>
  <c r="D7" i="8" s="1"/>
  <c r="R6" i="8"/>
  <c r="Q6" i="8"/>
  <c r="K6" i="8"/>
  <c r="L6" i="8" s="1"/>
  <c r="M6" i="8" s="1"/>
  <c r="H6" i="8"/>
  <c r="I6" i="8" s="1"/>
  <c r="J6" i="8" s="1"/>
  <c r="E6" i="8"/>
  <c r="B6" i="8"/>
  <c r="C6" i="8" s="1"/>
  <c r="D6" i="8" s="1"/>
  <c r="R5" i="8"/>
  <c r="Q5" i="8"/>
  <c r="K5" i="8"/>
  <c r="L5" i="8" s="1"/>
  <c r="M5" i="8" s="1"/>
  <c r="H5" i="8"/>
  <c r="E5" i="8"/>
  <c r="B5" i="8"/>
  <c r="U4" i="8"/>
  <c r="Q4" i="8"/>
  <c r="R3" i="8"/>
  <c r="Q3" i="8"/>
  <c r="N3" i="8"/>
  <c r="K3" i="8"/>
  <c r="L3" i="8" s="1"/>
  <c r="M3" i="8" s="1"/>
  <c r="H3" i="8"/>
  <c r="E3" i="8"/>
  <c r="F3" i="8" s="1"/>
  <c r="G3" i="8" s="1"/>
  <c r="B3" i="8"/>
  <c r="C3" i="8" s="1"/>
  <c r="D3" i="8" s="1"/>
  <c r="S34" i="8"/>
  <c r="R26" i="7"/>
  <c r="Q26" i="7"/>
  <c r="K26" i="7"/>
  <c r="H26" i="7"/>
  <c r="E26" i="7"/>
  <c r="B26" i="7"/>
  <c r="U25" i="7"/>
  <c r="R25" i="7"/>
  <c r="Q25" i="7"/>
  <c r="K25" i="7"/>
  <c r="L25" i="7" s="1"/>
  <c r="M25" i="7" s="1"/>
  <c r="H25" i="7"/>
  <c r="E25" i="7"/>
  <c r="F25" i="7" s="1"/>
  <c r="G25" i="7" s="1"/>
  <c r="B25" i="7"/>
  <c r="C25" i="7" s="1"/>
  <c r="D25" i="7" s="1"/>
  <c r="E24" i="7"/>
  <c r="F24" i="7" s="1"/>
  <c r="G24" i="7" s="1"/>
  <c r="U24" i="7"/>
  <c r="R24" i="7"/>
  <c r="Q24" i="7"/>
  <c r="K24" i="7"/>
  <c r="L24" i="7" s="1"/>
  <c r="M24" i="7" s="1"/>
  <c r="H24" i="7"/>
  <c r="I24" i="7" s="1"/>
  <c r="J24" i="7" s="1"/>
  <c r="B24" i="7"/>
  <c r="R23" i="7"/>
  <c r="Q23" i="7"/>
  <c r="K23" i="7"/>
  <c r="H23" i="7"/>
  <c r="I23" i="7" s="1"/>
  <c r="J23" i="7" s="1"/>
  <c r="E23" i="7"/>
  <c r="B23" i="7"/>
  <c r="U22" i="7"/>
  <c r="R22" i="7"/>
  <c r="Q22" i="7"/>
  <c r="K22" i="7"/>
  <c r="H22" i="7"/>
  <c r="E22" i="7"/>
  <c r="B22" i="7"/>
  <c r="C22" i="7" s="1"/>
  <c r="D22" i="7" s="1"/>
  <c r="U21" i="7"/>
  <c r="R21" i="7"/>
  <c r="Q21" i="7"/>
  <c r="K21" i="7"/>
  <c r="L21" i="7" s="1"/>
  <c r="M21" i="7" s="1"/>
  <c r="H21" i="7"/>
  <c r="I21" i="7" s="1"/>
  <c r="J21" i="7" s="1"/>
  <c r="E21" i="7"/>
  <c r="F21" i="7" s="1"/>
  <c r="G21" i="7" s="1"/>
  <c r="B21" i="7"/>
  <c r="C21" i="7" s="1"/>
  <c r="D21" i="7" s="1"/>
  <c r="R20" i="7"/>
  <c r="Q20" i="7"/>
  <c r="K20" i="7"/>
  <c r="H20" i="7"/>
  <c r="I20" i="7" s="1"/>
  <c r="J20" i="7" s="1"/>
  <c r="E20" i="7"/>
  <c r="F20" i="7" s="1"/>
  <c r="G20" i="7" s="1"/>
  <c r="B20" i="7"/>
  <c r="C20" i="7" s="1"/>
  <c r="D20" i="7" s="1"/>
  <c r="U19" i="7"/>
  <c r="R19" i="7"/>
  <c r="Q19" i="7"/>
  <c r="N19" i="7"/>
  <c r="O19" i="7" s="1"/>
  <c r="P19" i="7" s="1"/>
  <c r="K19" i="7"/>
  <c r="L19" i="7" s="1"/>
  <c r="M19" i="7" s="1"/>
  <c r="H19" i="7"/>
  <c r="E19" i="7"/>
  <c r="F19" i="7" s="1"/>
  <c r="G19" i="7" s="1"/>
  <c r="B19" i="7"/>
  <c r="R18" i="7"/>
  <c r="Q18" i="7"/>
  <c r="K18" i="7"/>
  <c r="H18" i="7"/>
  <c r="E18" i="7"/>
  <c r="B18" i="7"/>
  <c r="C18" i="7" s="1"/>
  <c r="D18" i="7" s="1"/>
  <c r="U17" i="7"/>
  <c r="R17" i="7"/>
  <c r="K17" i="7"/>
  <c r="L17" i="7" s="1"/>
  <c r="M17" i="7" s="1"/>
  <c r="H17" i="7"/>
  <c r="I17" i="7" s="1"/>
  <c r="J17" i="7" s="1"/>
  <c r="E17" i="7"/>
  <c r="F17" i="7" s="1"/>
  <c r="G17" i="7" s="1"/>
  <c r="B17" i="7"/>
  <c r="C17" i="7" s="1"/>
  <c r="D17" i="7" s="1"/>
  <c r="U16" i="7"/>
  <c r="R16" i="7"/>
  <c r="Q16" i="7"/>
  <c r="K16" i="7"/>
  <c r="H16" i="7"/>
  <c r="I16" i="7" s="1"/>
  <c r="J16" i="7" s="1"/>
  <c r="E16" i="7"/>
  <c r="F16" i="7" s="1"/>
  <c r="G16" i="7" s="1"/>
  <c r="B16" i="7"/>
  <c r="C16" i="7" s="1"/>
  <c r="D16" i="7" s="1"/>
  <c r="U15" i="7"/>
  <c r="R15" i="7"/>
  <c r="S15" i="7"/>
  <c r="Q15" i="7"/>
  <c r="N15" i="7"/>
  <c r="O15" i="7" s="1"/>
  <c r="P15" i="7" s="1"/>
  <c r="K15" i="7"/>
  <c r="L15" i="7" s="1"/>
  <c r="M15" i="7" s="1"/>
  <c r="H15" i="7"/>
  <c r="I15" i="7" s="1"/>
  <c r="J15" i="7" s="1"/>
  <c r="E15" i="7"/>
  <c r="F15" i="7" s="1"/>
  <c r="G15" i="7" s="1"/>
  <c r="B15" i="7"/>
  <c r="C15" i="7" s="1"/>
  <c r="D15" i="7" s="1"/>
  <c r="U14" i="7"/>
  <c r="R14" i="7"/>
  <c r="Q14" i="7"/>
  <c r="K14" i="7"/>
  <c r="L14" i="7" s="1"/>
  <c r="M14" i="7" s="1"/>
  <c r="H14" i="7"/>
  <c r="E14" i="7"/>
  <c r="B14" i="7"/>
  <c r="C14" i="7" s="1"/>
  <c r="D14" i="7" s="1"/>
  <c r="U13" i="7"/>
  <c r="R13" i="7"/>
  <c r="Q13" i="7"/>
  <c r="N13" i="7"/>
  <c r="O13" i="7" s="1"/>
  <c r="P13" i="7" s="1"/>
  <c r="K13" i="7"/>
  <c r="H13" i="7"/>
  <c r="I13" i="7" s="1"/>
  <c r="J13" i="7" s="1"/>
  <c r="E13" i="7"/>
  <c r="F13" i="7" s="1"/>
  <c r="G13" i="7" s="1"/>
  <c r="B13" i="7"/>
  <c r="C13" i="7" s="1"/>
  <c r="D13" i="7" s="1"/>
  <c r="U12" i="7"/>
  <c r="R12" i="7"/>
  <c r="Q12" i="7"/>
  <c r="K12" i="7"/>
  <c r="L12" i="7" s="1"/>
  <c r="M12" i="7" s="1"/>
  <c r="H12" i="7"/>
  <c r="I12" i="7" s="1"/>
  <c r="J12" i="7" s="1"/>
  <c r="E12" i="7"/>
  <c r="F12" i="7" s="1"/>
  <c r="G12" i="7" s="1"/>
  <c r="B12" i="7"/>
  <c r="C12" i="7" s="1"/>
  <c r="D12" i="7" s="1"/>
  <c r="N11" i="7"/>
  <c r="O11" i="7" s="1"/>
  <c r="P11" i="7" s="1"/>
  <c r="U11" i="7"/>
  <c r="R11" i="7"/>
  <c r="Q11" i="7"/>
  <c r="K11" i="7"/>
  <c r="H11" i="7"/>
  <c r="E11" i="7"/>
  <c r="F11" i="7" s="1"/>
  <c r="G11" i="7" s="1"/>
  <c r="B11" i="7"/>
  <c r="C11" i="7" s="1"/>
  <c r="D11" i="7" s="1"/>
  <c r="R10" i="7"/>
  <c r="Q10" i="7"/>
  <c r="K10" i="7"/>
  <c r="L10" i="7" s="1"/>
  <c r="M10" i="7" s="1"/>
  <c r="H10" i="7"/>
  <c r="I10" i="7" s="1"/>
  <c r="J10" i="7" s="1"/>
  <c r="E10" i="7"/>
  <c r="F10" i="7" s="1"/>
  <c r="G10" i="7" s="1"/>
  <c r="B10" i="7"/>
  <c r="C10" i="7" s="1"/>
  <c r="D10" i="7" s="1"/>
  <c r="R5" i="7"/>
  <c r="Q5" i="7"/>
  <c r="K5" i="7"/>
  <c r="H5" i="7"/>
  <c r="E5" i="7"/>
  <c r="F5" i="7" s="1"/>
  <c r="G5" i="7" s="1"/>
  <c r="B5" i="7"/>
  <c r="C5" i="7" s="1"/>
  <c r="D5" i="7" s="1"/>
  <c r="U4" i="7"/>
  <c r="R4" i="7"/>
  <c r="N4" i="7"/>
  <c r="O4" i="7" s="1"/>
  <c r="P4" i="7" s="1"/>
  <c r="K4" i="7"/>
  <c r="L4" i="7" s="1"/>
  <c r="M4" i="7" s="1"/>
  <c r="H4" i="7"/>
  <c r="I4" i="7" s="1"/>
  <c r="J4" i="7" s="1"/>
  <c r="E4" i="7"/>
  <c r="F4" i="7" s="1"/>
  <c r="G4" i="7" s="1"/>
  <c r="B4" i="7"/>
  <c r="C4" i="7" s="1"/>
  <c r="D4" i="7" s="1"/>
  <c r="S6" i="7"/>
  <c r="R6" i="7"/>
  <c r="K6" i="7"/>
  <c r="L6" i="7" s="1"/>
  <c r="M6" i="7" s="1"/>
  <c r="H6" i="7"/>
  <c r="I6" i="7" s="1"/>
  <c r="J6" i="7" s="1"/>
  <c r="E6" i="7"/>
  <c r="F6" i="7" s="1"/>
  <c r="G6" i="7" s="1"/>
  <c r="B6" i="7"/>
  <c r="C6" i="7" s="1"/>
  <c r="D6" i="7" s="1"/>
  <c r="R9" i="7"/>
  <c r="Q9" i="7"/>
  <c r="K9" i="7"/>
  <c r="L9" i="7" s="1"/>
  <c r="M9" i="7" s="1"/>
  <c r="H9" i="7"/>
  <c r="I9" i="7" s="1"/>
  <c r="J9" i="7" s="1"/>
  <c r="E9" i="7"/>
  <c r="F9" i="7" s="1"/>
  <c r="G9" i="7" s="1"/>
  <c r="B9" i="7"/>
  <c r="C9" i="7" s="1"/>
  <c r="D9" i="7" s="1"/>
  <c r="R8" i="7"/>
  <c r="Q8" i="7"/>
  <c r="K8" i="7"/>
  <c r="H8" i="7"/>
  <c r="I8" i="7" s="1"/>
  <c r="J8" i="7" s="1"/>
  <c r="E8" i="7"/>
  <c r="B8" i="7"/>
  <c r="C8" i="7" s="1"/>
  <c r="D8" i="7" s="1"/>
  <c r="K7" i="7"/>
  <c r="L7" i="7" s="1"/>
  <c r="M7" i="7" s="1"/>
  <c r="R7" i="7"/>
  <c r="Q7" i="7"/>
  <c r="H7" i="7"/>
  <c r="I7" i="7" s="1"/>
  <c r="J7" i="7" s="1"/>
  <c r="E7" i="7"/>
  <c r="F7" i="7" s="1"/>
  <c r="G7" i="7" s="1"/>
  <c r="B7" i="7"/>
  <c r="C7" i="7" s="1"/>
  <c r="D7" i="7" s="1"/>
  <c r="R3" i="7"/>
  <c r="K3" i="7"/>
  <c r="L3" i="7" s="1"/>
  <c r="M3" i="7" s="1"/>
  <c r="H3" i="7"/>
  <c r="E3" i="7"/>
  <c r="B3" i="7"/>
  <c r="O17" i="7"/>
  <c r="P17" i="7" s="1"/>
  <c r="O18" i="7"/>
  <c r="P18" i="7" s="1"/>
  <c r="C19" i="7"/>
  <c r="D19" i="7" s="1"/>
  <c r="C23" i="7"/>
  <c r="D23" i="7" s="1"/>
  <c r="C24" i="7"/>
  <c r="D24" i="7" s="1"/>
  <c r="O18" i="5"/>
  <c r="O19" i="5"/>
  <c r="P19" i="5" s="1"/>
  <c r="O20" i="5"/>
  <c r="I20" i="5"/>
  <c r="J20" i="5" s="1"/>
  <c r="F20" i="5"/>
  <c r="G20" i="5" s="1"/>
  <c r="C20" i="5"/>
  <c r="D20" i="5" s="1"/>
  <c r="O26" i="7"/>
  <c r="P26" i="7" s="1"/>
  <c r="L26" i="7"/>
  <c r="M26" i="7" s="1"/>
  <c r="I26" i="7"/>
  <c r="J26" i="7" s="1"/>
  <c r="F26" i="7"/>
  <c r="G26" i="7" s="1"/>
  <c r="C26" i="7"/>
  <c r="D26" i="7" s="1"/>
  <c r="O25" i="7"/>
  <c r="P25" i="7" s="1"/>
  <c r="I25" i="7"/>
  <c r="J25" i="7" s="1"/>
  <c r="O24" i="7"/>
  <c r="P24" i="7" s="1"/>
  <c r="O23" i="7"/>
  <c r="P23" i="7" s="1"/>
  <c r="L23" i="7"/>
  <c r="M23" i="7" s="1"/>
  <c r="F23" i="7"/>
  <c r="G23" i="7" s="1"/>
  <c r="O22" i="7"/>
  <c r="P22" i="7" s="1"/>
  <c r="L22" i="7"/>
  <c r="M22" i="7" s="1"/>
  <c r="I22" i="7"/>
  <c r="J22" i="7" s="1"/>
  <c r="F22" i="7"/>
  <c r="G22" i="7" s="1"/>
  <c r="O21" i="7"/>
  <c r="P21" i="7" s="1"/>
  <c r="O20" i="7"/>
  <c r="P20" i="7" s="1"/>
  <c r="L20" i="7"/>
  <c r="M20" i="7" s="1"/>
  <c r="I19" i="7"/>
  <c r="J19" i="7" s="1"/>
  <c r="L18" i="7"/>
  <c r="M18" i="7" s="1"/>
  <c r="I18" i="7"/>
  <c r="J18" i="7" s="1"/>
  <c r="F18" i="7"/>
  <c r="G18" i="7" s="1"/>
  <c r="O16" i="7"/>
  <c r="P16" i="7" s="1"/>
  <c r="L16" i="7"/>
  <c r="M16" i="7" s="1"/>
  <c r="O14" i="7"/>
  <c r="P14" i="7" s="1"/>
  <c r="I14" i="7"/>
  <c r="J14" i="7" s="1"/>
  <c r="F14" i="7"/>
  <c r="G14" i="7" s="1"/>
  <c r="L13" i="7"/>
  <c r="M13" i="7" s="1"/>
  <c r="L11" i="7"/>
  <c r="M11" i="7" s="1"/>
  <c r="I11" i="7"/>
  <c r="J11" i="7" s="1"/>
  <c r="O10" i="7"/>
  <c r="P10" i="7" s="1"/>
  <c r="O9" i="7"/>
  <c r="P9" i="7" s="1"/>
  <c r="T27" i="7"/>
  <c r="O8" i="7"/>
  <c r="P8" i="7" s="1"/>
  <c r="L8" i="7"/>
  <c r="M8" i="7" s="1"/>
  <c r="F8" i="7"/>
  <c r="G8" i="7" s="1"/>
  <c r="O7" i="7"/>
  <c r="P7" i="7" s="1"/>
  <c r="O6" i="7"/>
  <c r="P6" i="7" s="1"/>
  <c r="O5" i="7"/>
  <c r="P5" i="7" s="1"/>
  <c r="L5" i="7"/>
  <c r="M5" i="7" s="1"/>
  <c r="I5" i="7"/>
  <c r="J5" i="7" s="1"/>
  <c r="O3" i="7"/>
  <c r="P3" i="7" s="1"/>
  <c r="S29" i="5"/>
  <c r="R29" i="5"/>
  <c r="Q29" i="5"/>
  <c r="N29" i="5"/>
  <c r="K29" i="5"/>
  <c r="H29" i="5"/>
  <c r="E29" i="5"/>
  <c r="B29" i="5"/>
  <c r="U28" i="5"/>
  <c r="R28" i="5"/>
  <c r="Q28" i="5"/>
  <c r="K28" i="5"/>
  <c r="H28" i="5"/>
  <c r="E28" i="5"/>
  <c r="B28" i="5"/>
  <c r="R19" i="5"/>
  <c r="Q19" i="5"/>
  <c r="K19" i="5"/>
  <c r="L19" i="5" s="1"/>
  <c r="M19" i="5" s="1"/>
  <c r="H19" i="5"/>
  <c r="I19" i="5" s="1"/>
  <c r="J19" i="5" s="1"/>
  <c r="E19" i="5"/>
  <c r="F19" i="5" s="1"/>
  <c r="G19" i="5" s="1"/>
  <c r="B19" i="5"/>
  <c r="C19" i="5"/>
  <c r="D19" i="5" s="1"/>
  <c r="U27" i="5"/>
  <c r="R27" i="5"/>
  <c r="Q27" i="5"/>
  <c r="K27" i="5"/>
  <c r="H27" i="5"/>
  <c r="E27" i="5"/>
  <c r="B27" i="5"/>
  <c r="O26" i="5"/>
  <c r="P26" i="5" s="1"/>
  <c r="L26" i="5"/>
  <c r="M26" i="5" s="1"/>
  <c r="I26" i="5"/>
  <c r="J26" i="5" s="1"/>
  <c r="F26" i="5"/>
  <c r="G26" i="5" s="1"/>
  <c r="C26" i="5"/>
  <c r="D26" i="5" s="1"/>
  <c r="U25" i="5"/>
  <c r="S25" i="5"/>
  <c r="R25" i="5"/>
  <c r="O25" i="5"/>
  <c r="P25" i="5" s="1"/>
  <c r="K25" i="5"/>
  <c r="L25" i="5" s="1"/>
  <c r="M25" i="5" s="1"/>
  <c r="H25" i="5"/>
  <c r="I25" i="5" s="1"/>
  <c r="J25" i="5" s="1"/>
  <c r="E25" i="5"/>
  <c r="F25" i="5" s="1"/>
  <c r="G25" i="5" s="1"/>
  <c r="B25" i="5"/>
  <c r="C25" i="5" s="1"/>
  <c r="D25" i="5" s="1"/>
  <c r="R24" i="5"/>
  <c r="N24" i="5"/>
  <c r="O24" i="5" s="1"/>
  <c r="P24" i="5" s="1"/>
  <c r="K24" i="5"/>
  <c r="L24" i="5" s="1"/>
  <c r="M24" i="5" s="1"/>
  <c r="H24" i="5"/>
  <c r="I24" i="5" s="1"/>
  <c r="J24" i="5" s="1"/>
  <c r="E24" i="5"/>
  <c r="F24" i="5" s="1"/>
  <c r="G24" i="5" s="1"/>
  <c r="B24" i="5"/>
  <c r="C24" i="5" s="1"/>
  <c r="D24" i="5" s="1"/>
  <c r="U23" i="5"/>
  <c r="R23" i="5"/>
  <c r="O23" i="5"/>
  <c r="P23" i="5" s="1"/>
  <c r="L23" i="5"/>
  <c r="M23" i="5" s="1"/>
  <c r="I23" i="5"/>
  <c r="J23" i="5" s="1"/>
  <c r="F23" i="5"/>
  <c r="G23" i="5" s="1"/>
  <c r="B23" i="5"/>
  <c r="C23" i="5" s="1"/>
  <c r="D23" i="5" s="1"/>
  <c r="U22" i="5"/>
  <c r="S22" i="5"/>
  <c r="R22" i="5"/>
  <c r="Q22" i="5"/>
  <c r="O22" i="5"/>
  <c r="P22" i="5" s="1"/>
  <c r="K22" i="5"/>
  <c r="L22" i="5" s="1"/>
  <c r="M22" i="5" s="1"/>
  <c r="H22" i="5"/>
  <c r="I22" i="5" s="1"/>
  <c r="J22" i="5" s="1"/>
  <c r="E22" i="5"/>
  <c r="F22" i="5" s="1"/>
  <c r="G22" i="5" s="1"/>
  <c r="B22" i="5"/>
  <c r="C22" i="5" s="1"/>
  <c r="D22" i="5" s="1"/>
  <c r="R21" i="5"/>
  <c r="Q21" i="5"/>
  <c r="O21" i="5"/>
  <c r="P21" i="5" s="1"/>
  <c r="K21" i="5"/>
  <c r="L21" i="5" s="1"/>
  <c r="M21" i="5" s="1"/>
  <c r="H21" i="5"/>
  <c r="I21" i="5" s="1"/>
  <c r="J21" i="5" s="1"/>
  <c r="E21" i="5"/>
  <c r="F21" i="5" s="1"/>
  <c r="G21" i="5" s="1"/>
  <c r="B21" i="5"/>
  <c r="C21" i="5" s="1"/>
  <c r="D21" i="5" s="1"/>
  <c r="P20" i="5"/>
  <c r="L20" i="5"/>
  <c r="M20" i="5" s="1"/>
  <c r="C3" i="9" l="1"/>
  <c r="D3" i="9" s="1"/>
  <c r="B30" i="9"/>
  <c r="H42" i="9" s="1"/>
  <c r="T16" i="9"/>
  <c r="F23" i="9"/>
  <c r="G23" i="9" s="1"/>
  <c r="U23" i="9"/>
  <c r="V23" i="9" s="1"/>
  <c r="T21" i="9"/>
  <c r="U3" i="9"/>
  <c r="T5" i="9"/>
  <c r="V5" i="9" s="1"/>
  <c r="V8" i="9"/>
  <c r="V10" i="9"/>
  <c r="V12" i="9"/>
  <c r="H49" i="9"/>
  <c r="W32" i="9"/>
  <c r="U20" i="9"/>
  <c r="V20" i="9" s="1"/>
  <c r="F7" i="9"/>
  <c r="G7" i="9" s="1"/>
  <c r="T3" i="9"/>
  <c r="Q30" i="9"/>
  <c r="F15" i="9"/>
  <c r="G15" i="9" s="1"/>
  <c r="U15" i="9"/>
  <c r="V15" i="9" s="1"/>
  <c r="R30" i="9"/>
  <c r="H46" i="9" s="1"/>
  <c r="K46" i="9" s="1"/>
  <c r="F9" i="9"/>
  <c r="G9" i="9" s="1"/>
  <c r="U9" i="9"/>
  <c r="V9" i="9" s="1"/>
  <c r="U11" i="9"/>
  <c r="V11" i="9" s="1"/>
  <c r="U17" i="9"/>
  <c r="V17" i="9" s="1"/>
  <c r="V19" i="9"/>
  <c r="V22" i="9"/>
  <c r="F13" i="9"/>
  <c r="G13" i="9" s="1"/>
  <c r="U13" i="9"/>
  <c r="V13" i="9" s="1"/>
  <c r="F17" i="9"/>
  <c r="G17" i="9" s="1"/>
  <c r="U4" i="9"/>
  <c r="F22" i="9"/>
  <c r="G22" i="9" s="1"/>
  <c r="U18" i="9"/>
  <c r="V18" i="9" s="1"/>
  <c r="E30" i="9"/>
  <c r="F11" i="9"/>
  <c r="G11" i="9" s="1"/>
  <c r="V7" i="9"/>
  <c r="T6" i="9"/>
  <c r="T4" i="9"/>
  <c r="F16" i="9"/>
  <c r="G16" i="9" s="1"/>
  <c r="U16" i="9"/>
  <c r="U21" i="9"/>
  <c r="N30" i="9"/>
  <c r="O30" i="9" s="1"/>
  <c r="P30" i="9" s="1"/>
  <c r="S30" i="9"/>
  <c r="F5" i="9"/>
  <c r="G5" i="9" s="1"/>
  <c r="U8" i="9"/>
  <c r="F10" i="9"/>
  <c r="G10" i="9" s="1"/>
  <c r="U10" i="9"/>
  <c r="F12" i="9"/>
  <c r="G12" i="9" s="1"/>
  <c r="U12" i="9"/>
  <c r="F14" i="9"/>
  <c r="G14" i="9" s="1"/>
  <c r="U14" i="9"/>
  <c r="V14" i="9" s="1"/>
  <c r="V29" i="9"/>
  <c r="L3" i="9"/>
  <c r="M3" i="9" s="1"/>
  <c r="K30" i="9"/>
  <c r="L30" i="9" s="1"/>
  <c r="M30" i="9" s="1"/>
  <c r="F6" i="9"/>
  <c r="G6" i="9" s="1"/>
  <c r="U6" i="9"/>
  <c r="V27" i="9"/>
  <c r="I30" i="9"/>
  <c r="J30" i="9" s="1"/>
  <c r="F3" i="9"/>
  <c r="G3" i="9" s="1"/>
  <c r="L4" i="9"/>
  <c r="M4" i="9" s="1"/>
  <c r="I3" i="9"/>
  <c r="J3" i="9" s="1"/>
  <c r="C30" i="9"/>
  <c r="D30" i="9" s="1"/>
  <c r="T30" i="8"/>
  <c r="H30" i="8"/>
  <c r="I30" i="8" s="1"/>
  <c r="J30" i="8" s="1"/>
  <c r="R30" i="8"/>
  <c r="U30" i="8"/>
  <c r="Q30" i="8"/>
  <c r="N30" i="8"/>
  <c r="O30" i="8" s="1"/>
  <c r="P30" i="8" s="1"/>
  <c r="O3" i="8"/>
  <c r="P3" i="8" s="1"/>
  <c r="B30" i="8"/>
  <c r="C30" i="8" s="1"/>
  <c r="D30" i="8" s="1"/>
  <c r="I3" i="8"/>
  <c r="J3" i="8" s="1"/>
  <c r="E30" i="8"/>
  <c r="F30" i="8" s="1"/>
  <c r="G30" i="8" s="1"/>
  <c r="K30" i="8"/>
  <c r="L30" i="8" s="1"/>
  <c r="M30" i="8" s="1"/>
  <c r="B27" i="7"/>
  <c r="C27" i="7" s="1"/>
  <c r="D27" i="7" s="1"/>
  <c r="N27" i="7"/>
  <c r="O27" i="7" s="1"/>
  <c r="P27" i="7" s="1"/>
  <c r="O12" i="7"/>
  <c r="P12" i="7" s="1"/>
  <c r="C3" i="7"/>
  <c r="D3" i="7" s="1"/>
  <c r="Q27" i="7"/>
  <c r="K27" i="7"/>
  <c r="L27" i="7" s="1"/>
  <c r="M27" i="7" s="1"/>
  <c r="R27" i="7"/>
  <c r="U27" i="7"/>
  <c r="E27" i="7"/>
  <c r="F27" i="7" s="1"/>
  <c r="G27" i="7" s="1"/>
  <c r="F3" i="7"/>
  <c r="G3" i="7" s="1"/>
  <c r="H27" i="7"/>
  <c r="I27" i="7" s="1"/>
  <c r="J27" i="7" s="1"/>
  <c r="I3" i="7"/>
  <c r="J3" i="7" s="1"/>
  <c r="S34" i="5"/>
  <c r="U18" i="5"/>
  <c r="R18" i="5"/>
  <c r="Q18" i="5"/>
  <c r="K18" i="5"/>
  <c r="H18" i="5"/>
  <c r="E18" i="5"/>
  <c r="B18" i="5"/>
  <c r="U17" i="5"/>
  <c r="R17" i="5"/>
  <c r="Q17" i="5"/>
  <c r="N17" i="5"/>
  <c r="K17" i="5"/>
  <c r="H17" i="5"/>
  <c r="E17" i="5"/>
  <c r="B17" i="5"/>
  <c r="E16" i="5"/>
  <c r="R16" i="5"/>
  <c r="Q16" i="5"/>
  <c r="K16" i="5"/>
  <c r="H16" i="5"/>
  <c r="B16" i="5"/>
  <c r="V4" i="9" l="1"/>
  <c r="V6" i="9"/>
  <c r="H43" i="9"/>
  <c r="K43" i="9" s="1"/>
  <c r="V21" i="9"/>
  <c r="V16" i="9"/>
  <c r="F30" i="9"/>
  <c r="G30" i="9" s="1"/>
  <c r="U48" i="9"/>
  <c r="U49" i="9" s="1"/>
  <c r="U53" i="9" s="1"/>
  <c r="U55" i="9" s="1"/>
  <c r="H45" i="9"/>
  <c r="K42" i="9"/>
  <c r="K44" i="9" s="1"/>
  <c r="H44" i="9"/>
  <c r="V3" i="9"/>
  <c r="U15" i="5"/>
  <c r="R15" i="5"/>
  <c r="B15" i="5"/>
  <c r="U14" i="5"/>
  <c r="R14" i="5"/>
  <c r="Q14" i="5"/>
  <c r="K14" i="5"/>
  <c r="H14" i="5"/>
  <c r="E14" i="5"/>
  <c r="B14" i="5"/>
  <c r="R13" i="5"/>
  <c r="Q13" i="5"/>
  <c r="K13" i="5"/>
  <c r="H13" i="5"/>
  <c r="E13" i="5"/>
  <c r="B13" i="5"/>
  <c r="H47" i="9" l="1"/>
  <c r="K47" i="9" s="1"/>
  <c r="K45" i="9"/>
  <c r="R12" i="5"/>
  <c r="K12" i="5"/>
  <c r="H12" i="5"/>
  <c r="E12" i="5"/>
  <c r="B12" i="5"/>
  <c r="T11" i="5"/>
  <c r="U11" i="5"/>
  <c r="S11" i="5"/>
  <c r="R11" i="5"/>
  <c r="Q11" i="5"/>
  <c r="K11" i="5"/>
  <c r="H11" i="5"/>
  <c r="E11" i="5"/>
  <c r="B11" i="5"/>
  <c r="U10" i="5"/>
  <c r="R10" i="5"/>
  <c r="K10" i="5"/>
  <c r="H10" i="5"/>
  <c r="E10" i="5"/>
  <c r="B10" i="5"/>
  <c r="H48" i="9" l="1"/>
  <c r="H50" i="9" s="1"/>
  <c r="U9" i="5"/>
  <c r="R9" i="5"/>
  <c r="K9" i="5"/>
  <c r="H9" i="5"/>
  <c r="E9" i="5"/>
  <c r="B9" i="5"/>
  <c r="U8" i="5"/>
  <c r="S8" i="5"/>
  <c r="R8" i="5"/>
  <c r="K8" i="5"/>
  <c r="H8" i="5"/>
  <c r="E8" i="5"/>
  <c r="B8" i="5"/>
  <c r="R7" i="5"/>
  <c r="Q7" i="5"/>
  <c r="K7" i="5"/>
  <c r="H7" i="5"/>
  <c r="E7" i="5"/>
  <c r="B7" i="5"/>
  <c r="B9" i="6" l="1"/>
  <c r="E8" i="6"/>
  <c r="E9" i="6"/>
  <c r="L9" i="6"/>
  <c r="M9" i="6" s="1"/>
  <c r="J9" i="6"/>
  <c r="F9" i="6"/>
  <c r="D9" i="6"/>
  <c r="D8" i="6"/>
  <c r="K9" i="6"/>
  <c r="K7" i="6" s="1"/>
  <c r="J3" i="6"/>
  <c r="I3" i="6"/>
  <c r="K3" i="6" s="1"/>
  <c r="W7" i="4"/>
  <c r="R7" i="4"/>
  <c r="H8" i="4"/>
  <c r="W17" i="4"/>
  <c r="W18" i="4" s="1"/>
  <c r="R3" i="4"/>
  <c r="Q30" i="4"/>
  <c r="O30" i="4"/>
  <c r="P30" i="4" s="1"/>
  <c r="L30" i="4"/>
  <c r="M30" i="4" s="1"/>
  <c r="I30" i="4"/>
  <c r="J30" i="4" s="1"/>
  <c r="F30" i="4"/>
  <c r="G30" i="4" s="1"/>
  <c r="C30" i="4"/>
  <c r="D30" i="4" s="1"/>
  <c r="E10" i="6" l="1"/>
  <c r="I9" i="6"/>
  <c r="H9" i="6"/>
  <c r="I11" i="6"/>
  <c r="D18" i="6"/>
  <c r="D17" i="6"/>
  <c r="D10" i="6"/>
  <c r="U5" i="5" l="1"/>
  <c r="S5" i="5"/>
  <c r="R5" i="5"/>
  <c r="Q5" i="5"/>
  <c r="N5" i="5"/>
  <c r="O5" i="5" s="1"/>
  <c r="P5" i="5" s="1"/>
  <c r="K5" i="5"/>
  <c r="L5" i="5" s="1"/>
  <c r="M5" i="5" s="1"/>
  <c r="H5" i="5"/>
  <c r="I5" i="5" s="1"/>
  <c r="J5" i="5" s="1"/>
  <c r="E5" i="5"/>
  <c r="F5" i="5" s="1"/>
  <c r="G5" i="5" s="1"/>
  <c r="B5" i="5"/>
  <c r="C5" i="5" s="1"/>
  <c r="D5" i="5" s="1"/>
  <c r="R4" i="5"/>
  <c r="U4" i="5"/>
  <c r="N4" i="5"/>
  <c r="O4" i="5" s="1"/>
  <c r="P4" i="5" s="1"/>
  <c r="K4" i="5"/>
  <c r="L4" i="5" s="1"/>
  <c r="M4" i="5" s="1"/>
  <c r="H4" i="5"/>
  <c r="I4" i="5" s="1"/>
  <c r="J4" i="5" s="1"/>
  <c r="E4" i="5"/>
  <c r="F4" i="5" s="1"/>
  <c r="G4" i="5" s="1"/>
  <c r="O6" i="5"/>
  <c r="P6" i="5" s="1"/>
  <c r="O7" i="5"/>
  <c r="P7" i="5" s="1"/>
  <c r="O8" i="5"/>
  <c r="P8" i="5" s="1"/>
  <c r="O9" i="5"/>
  <c r="P9" i="5" s="1"/>
  <c r="O10" i="5"/>
  <c r="P10" i="5" s="1"/>
  <c r="O11" i="5"/>
  <c r="P11" i="5"/>
  <c r="O12" i="5"/>
  <c r="P12" i="5" s="1"/>
  <c r="O13" i="5"/>
  <c r="P13" i="5" s="1"/>
  <c r="O14" i="5"/>
  <c r="P14" i="5" s="1"/>
  <c r="O15" i="5"/>
  <c r="P15" i="5"/>
  <c r="O16" i="5"/>
  <c r="P16" i="5" s="1"/>
  <c r="O17" i="5"/>
  <c r="P17" i="5"/>
  <c r="P18" i="5"/>
  <c r="O27" i="5"/>
  <c r="P27" i="5" s="1"/>
  <c r="O28" i="5"/>
  <c r="P28" i="5" s="1"/>
  <c r="O29" i="5"/>
  <c r="P29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27" i="5"/>
  <c r="M27" i="5" s="1"/>
  <c r="L28" i="5"/>
  <c r="M28" i="5" s="1"/>
  <c r="L29" i="5"/>
  <c r="M29" i="5" s="1"/>
  <c r="I6" i="5"/>
  <c r="J6" i="5" s="1"/>
  <c r="I7" i="5"/>
  <c r="J7" i="5"/>
  <c r="I8" i="5"/>
  <c r="J8" i="5"/>
  <c r="I9" i="5"/>
  <c r="J9" i="5" s="1"/>
  <c r="I10" i="5"/>
  <c r="J10" i="5" s="1"/>
  <c r="I11" i="5"/>
  <c r="J11" i="5"/>
  <c r="I12" i="5"/>
  <c r="J12" i="5" s="1"/>
  <c r="I13" i="5"/>
  <c r="J13" i="5" s="1"/>
  <c r="I14" i="5"/>
  <c r="J14" i="5" s="1"/>
  <c r="I15" i="5"/>
  <c r="J15" i="5" s="1"/>
  <c r="I16" i="5"/>
  <c r="J16" i="5"/>
  <c r="I17" i="5"/>
  <c r="J17" i="5" s="1"/>
  <c r="I18" i="5"/>
  <c r="J18" i="5" s="1"/>
  <c r="I27" i="5"/>
  <c r="J27" i="5" s="1"/>
  <c r="I28" i="5"/>
  <c r="J28" i="5" s="1"/>
  <c r="I29" i="5"/>
  <c r="J29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/>
  <c r="F27" i="5"/>
  <c r="G27" i="5" s="1"/>
  <c r="F28" i="5"/>
  <c r="G28" i="5" s="1"/>
  <c r="F29" i="5"/>
  <c r="G29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27" i="5"/>
  <c r="D27" i="5" s="1"/>
  <c r="C28" i="5"/>
  <c r="D28" i="5" s="1"/>
  <c r="C29" i="5"/>
  <c r="D29" i="5" s="1"/>
  <c r="B4" i="5"/>
  <c r="C4" i="5" s="1"/>
  <c r="D4" i="5" s="1"/>
  <c r="R3" i="5" l="1"/>
  <c r="Q3" i="5"/>
  <c r="K3" i="5"/>
  <c r="L3" i="5" s="1"/>
  <c r="M3" i="5" s="1"/>
  <c r="H3" i="5"/>
  <c r="I3" i="5" s="1"/>
  <c r="J3" i="5" s="1"/>
  <c r="E3" i="5"/>
  <c r="F3" i="5" s="1"/>
  <c r="G3" i="5" s="1"/>
  <c r="O3" i="5"/>
  <c r="P3" i="5" s="1"/>
  <c r="B3" i="5"/>
  <c r="C3" i="5" s="1"/>
  <c r="D3" i="5" s="1"/>
  <c r="B30" i="5"/>
  <c r="C30" i="5" s="1"/>
  <c r="D30" i="5" s="1"/>
  <c r="T30" i="5"/>
  <c r="U30" i="5" l="1"/>
  <c r="H30" i="5"/>
  <c r="I30" i="5" s="1"/>
  <c r="J30" i="5" s="1"/>
  <c r="K30" i="5"/>
  <c r="L30" i="5" s="1"/>
  <c r="M30" i="5" s="1"/>
  <c r="R30" i="5"/>
  <c r="N30" i="5"/>
  <c r="O30" i="5" s="1"/>
  <c r="P30" i="5" s="1"/>
  <c r="E30" i="5"/>
  <c r="F30" i="5" s="1"/>
  <c r="G30" i="5" s="1"/>
  <c r="Q30" i="5"/>
  <c r="S27" i="4"/>
  <c r="S28" i="4" s="1"/>
  <c r="S31" i="4" s="1"/>
  <c r="R27" i="4"/>
  <c r="Q27" i="4"/>
  <c r="K27" i="4"/>
  <c r="H27" i="4"/>
  <c r="E27" i="4"/>
  <c r="B27" i="4"/>
  <c r="R26" i="4" l="1"/>
  <c r="K26" i="4"/>
  <c r="H26" i="4"/>
  <c r="E26" i="4"/>
  <c r="B26" i="4"/>
  <c r="R25" i="4" l="1"/>
  <c r="N25" i="4"/>
  <c r="K25" i="4"/>
  <c r="H25" i="4"/>
  <c r="E25" i="4"/>
  <c r="B25" i="4"/>
  <c r="U24" i="4"/>
  <c r="R24" i="4"/>
  <c r="Q24" i="4"/>
  <c r="N24" i="4"/>
  <c r="K24" i="4"/>
  <c r="H24" i="4"/>
  <c r="E24" i="4"/>
  <c r="B24" i="4"/>
  <c r="R23" i="4" l="1"/>
  <c r="U23" i="4"/>
  <c r="Q23" i="4"/>
  <c r="K23" i="4"/>
  <c r="H23" i="4"/>
  <c r="E23" i="4"/>
  <c r="B23" i="4"/>
  <c r="R22" i="4"/>
  <c r="Q22" i="4"/>
  <c r="K22" i="4"/>
  <c r="H22" i="4"/>
  <c r="E22" i="4"/>
  <c r="B22" i="4"/>
  <c r="U21" i="4" l="1"/>
  <c r="R21" i="4"/>
  <c r="Q21" i="4"/>
  <c r="K21" i="4"/>
  <c r="H21" i="4"/>
  <c r="E21" i="4"/>
  <c r="B21" i="4"/>
  <c r="U20" i="4"/>
  <c r="R20" i="4"/>
  <c r="Q20" i="4"/>
  <c r="K20" i="4"/>
  <c r="H20" i="4"/>
  <c r="E20" i="4"/>
  <c r="B20" i="4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T28" i="4" s="1"/>
  <c r="T31" i="4" s="1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N7" i="4" l="1"/>
  <c r="O7" i="4" s="1"/>
  <c r="P7" i="4" s="1"/>
  <c r="K7" i="4"/>
  <c r="H7" i="4"/>
  <c r="I7" i="4" s="1"/>
  <c r="J7" i="4" s="1"/>
  <c r="E7" i="4"/>
  <c r="B7" i="4"/>
  <c r="C7" i="4" s="1"/>
  <c r="D7" i="4" s="1"/>
  <c r="U6" i="4"/>
  <c r="U28" i="4" s="1"/>
  <c r="U31" i="4" s="1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Q3" i="4"/>
  <c r="K3" i="4"/>
  <c r="H3" i="4"/>
  <c r="I3" i="4" s="1"/>
  <c r="J3" i="4" s="1"/>
  <c r="E3" i="4"/>
  <c r="F3" i="4" s="1"/>
  <c r="G3" i="4" s="1"/>
  <c r="B3" i="4"/>
  <c r="C3" i="4" s="1"/>
  <c r="D3" i="4" s="1"/>
  <c r="C26" i="4"/>
  <c r="D26" i="4" s="1"/>
  <c r="F26" i="4"/>
  <c r="G26" i="4" s="1"/>
  <c r="I26" i="4"/>
  <c r="J26" i="4" s="1"/>
  <c r="L26" i="4"/>
  <c r="M26" i="4" s="1"/>
  <c r="O26" i="4"/>
  <c r="P26" i="4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Q28" i="4" l="1"/>
  <c r="Q31" i="4" s="1"/>
  <c r="R28" i="4"/>
  <c r="R31" i="4" s="1"/>
  <c r="E28" i="4"/>
  <c r="F28" i="4" s="1"/>
  <c r="G28" i="4" s="1"/>
  <c r="F7" i="4"/>
  <c r="G7" i="4" s="1"/>
  <c r="K28" i="4"/>
  <c r="L28" i="4" s="1"/>
  <c r="M28" i="4" s="1"/>
  <c r="L3" i="4"/>
  <c r="M3" i="4" s="1"/>
  <c r="B28" i="4"/>
  <c r="C28" i="4" s="1"/>
  <c r="D28" i="4" s="1"/>
  <c r="O12" i="4"/>
  <c r="P12" i="4" s="1"/>
  <c r="H28" i="4"/>
  <c r="I28" i="4" s="1"/>
  <c r="J28" i="4" s="1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 s="1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 s="1"/>
  <c r="C9" i="3"/>
  <c r="D9" i="3" s="1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 s="1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 s="1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 s="1"/>
  <c r="L14" i="3"/>
  <c r="M14" i="3" s="1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 s="1"/>
  <c r="F16" i="3"/>
  <c r="G16" i="3" s="1"/>
  <c r="I16" i="3"/>
  <c r="J16" i="3"/>
  <c r="L16" i="3"/>
  <c r="M16" i="3" s="1"/>
  <c r="O16" i="3"/>
  <c r="P16" i="3" s="1"/>
  <c r="C17" i="3"/>
  <c r="D17" i="3" s="1"/>
  <c r="F17" i="3"/>
  <c r="G17" i="3" s="1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C12" i="2" s="1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R31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K31" i="1" s="1"/>
  <c r="H3" i="1"/>
  <c r="H30" i="1" s="1"/>
  <c r="H31" i="1" s="1"/>
  <c r="E3" i="1"/>
  <c r="E30" i="1" s="1"/>
  <c r="E31" i="1" s="1"/>
  <c r="B3" i="1"/>
  <c r="B30" i="1" s="1"/>
  <c r="T30" i="1"/>
  <c r="T31" i="1" s="1"/>
  <c r="S30" i="1"/>
  <c r="S31" i="1" s="1"/>
  <c r="Q30" i="1"/>
  <c r="Q31" i="1" s="1"/>
  <c r="N30" i="1"/>
  <c r="N31" i="1" s="1"/>
  <c r="C30" i="1" l="1"/>
  <c r="B31" i="1"/>
  <c r="L3" i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  <c r="C53" i="13"/>
  <c r="D53" i="13" s="1"/>
</calcChain>
</file>

<file path=xl/comments1.xml><?xml version="1.0" encoding="utf-8"?>
<comments xmlns="http://schemas.openxmlformats.org/spreadsheetml/2006/main">
  <authors>
    <author>User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sharedStrings.xml><?xml version="1.0" encoding="utf-8"?>
<sst xmlns="http://schemas.openxmlformats.org/spreadsheetml/2006/main" count="445" uniqueCount="117">
  <si>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</si>
  <si>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</si>
  <si>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</si>
  <si>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</si>
  <si>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</si>
  <si>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</si>
  <si>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</si>
  <si>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</si>
  <si>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</si>
  <si>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</si>
  <si>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</si>
  <si>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</si>
  <si>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</si>
  <si>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</si>
  <si>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</si>
  <si>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</si>
  <si>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</si>
  <si>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</si>
  <si>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</si>
  <si>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</si>
  <si>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</si>
  <si>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</si>
  <si>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</si>
  <si>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</si>
  <si>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</si>
  <si>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</si>
  <si>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</si>
  <si>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</si>
  <si>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</si>
  <si>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</si>
  <si>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</si>
  <si>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</si>
  <si>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</si>
  <si>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</si>
  <si>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</si>
  <si>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</si>
  <si>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</si>
  <si>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</si>
  <si>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</si>
  <si>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</si>
  <si>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</si>
  <si>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</si>
  <si>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</si>
  <si>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</si>
  <si>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4985 TL UYUMSOFT EKSİK FATURA</t>
  </si>
  <si>
    <t>4880 TL UYUMSOFT FAZLA FATURA</t>
  </si>
  <si>
    <t>105 TL UYUMSOFT FAZLA FATURA</t>
  </si>
  <si>
    <t>7230 TL UYUMSOFT EKSİK FATURA</t>
  </si>
  <si>
    <t>10.800 TL UYUMSOFT EKSİK FATURA</t>
  </si>
  <si>
    <t>CARİ 226930 TL</t>
  </si>
  <si>
    <t>CARİ 440000 TL</t>
  </si>
  <si>
    <t>FATURA NAKİT 6950 TL EKSİK</t>
  </si>
  <si>
    <t>CARİ 16720 TL</t>
  </si>
  <si>
    <t>138.0000 TL CARİ VAR BAĞ HAVALE</t>
  </si>
  <si>
    <t>2445 tl satış iptal
z den düşülmedi</t>
  </si>
  <si>
    <t>mükrerrer işlem-tutanak tutulacak</t>
  </si>
  <si>
    <t>TOPLAM</t>
  </si>
  <si>
    <t>KK</t>
  </si>
  <si>
    <t>toplam kdvli satış</t>
  </si>
  <si>
    <t>rest</t>
  </si>
  <si>
    <t>kasa</t>
  </si>
  <si>
    <t>toplam</t>
  </si>
  <si>
    <t>kdv</t>
  </si>
  <si>
    <t>GİB</t>
  </si>
  <si>
    <t>toplam satış</t>
  </si>
  <si>
    <t>NKT</t>
  </si>
  <si>
    <t>tevkifatlı</t>
  </si>
  <si>
    <t>ökcli satış</t>
  </si>
  <si>
    <t>ftlı satış</t>
  </si>
  <si>
    <t>kasa kahve ftlı satış</t>
  </si>
  <si>
    <t>ÖDEME FARK</t>
  </si>
  <si>
    <t>FT</t>
  </si>
  <si>
    <t>fark</t>
  </si>
  <si>
    <t>cari işlem</t>
  </si>
  <si>
    <t>YEMEK KARTI</t>
  </si>
  <si>
    <t>NEVİN LİSTE</t>
  </si>
  <si>
    <t>MİZANDA YOK</t>
  </si>
  <si>
    <t>HAVALE İADELER</t>
  </si>
  <si>
    <t>NET CARİ İŞLEM</t>
  </si>
  <si>
    <t>TRENDYOL</t>
  </si>
  <si>
    <t>FT. NK.</t>
  </si>
  <si>
    <t>FT. KK</t>
  </si>
  <si>
    <t>kk yemek faturası</t>
  </si>
  <si>
    <t>kasa kahve</t>
  </si>
  <si>
    <t>1.ÖKC</t>
  </si>
  <si>
    <t>2.ÖKC</t>
  </si>
  <si>
    <t>FATURA NAKİT</t>
  </si>
  <si>
    <t>FATURA KK</t>
  </si>
  <si>
    <t>MİLLET BAHÇESİ FİŞLERİ</t>
  </si>
  <si>
    <t>cari 8000</t>
  </si>
  <si>
    <t>860.000 CARİ FT. KESİLDİ</t>
  </si>
  <si>
    <t>Toplam Gelir</t>
  </si>
  <si>
    <t>Toplam Vergi</t>
  </si>
  <si>
    <t>Hizmet Bedeli Tutarı</t>
  </si>
  <si>
    <t>İndirim Tutarı</t>
  </si>
  <si>
    <t>Kampanya Tutarı</t>
  </si>
  <si>
    <t>İkram Tutarı</t>
  </si>
  <si>
    <t>İptal Tutarı</t>
  </si>
  <si>
    <t>İade Tutarı</t>
  </si>
  <si>
    <t>Adisyon Sayısı</t>
  </si>
  <si>
    <t>Misafir Sayısı</t>
  </si>
  <si>
    <t>Misafir Başı Ortalama Tutar</t>
  </si>
  <si>
    <t>Ortalama Ürün Tutarı</t>
  </si>
  <si>
    <t>Ortalama Ürün Sayısı</t>
  </si>
  <si>
    <t>13.0</t>
  </si>
  <si>
    <t>Ortalama Hesap Tutarı</t>
  </si>
  <si>
    <t>Ödeme Tipleri</t>
  </si>
  <si>
    <t>Tür</t>
  </si>
  <si>
    <t>Tutar / Değer</t>
  </si>
  <si>
    <t>Kredi Kartı</t>
  </si>
  <si>
    <t>Nakit</t>
  </si>
  <si>
    <t>Fatura Kredi Kartı Manuel</t>
  </si>
  <si>
    <t>Kredi Kartı (ÖKC)</t>
  </si>
  <si>
    <t>OR</t>
  </si>
  <si>
    <t>Z1635</t>
  </si>
  <si>
    <t>ÖKC TOPLAM SATIŞ</t>
  </si>
  <si>
    <t>SİMPRA SATIŞ CARİ HARİÇ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</si>
</sst>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₺&quot;#,##0.00"/>
  </numFmts>
  <fonts count="11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0"/>
      <color rgb="FF000000"/>
      <name val="Arial"/>
      <family val="2"/>
      <charset val="162"/>
    </font>
    <font>
      <sz val="11"/>
      <color rgb="FF94999C"/>
      <name val="Arial"/>
      <family val="2"/>
      <charset val="162"/>
    </font>
    <font>
      <sz val="10"/>
      <color rgb="FF94999C"/>
      <name val="Arial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6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3E3E7"/>
      </left>
      <right style="medium">
        <color rgb="FFE3E3E7"/>
      </right>
      <top style="medium">
        <color rgb="FFE3E3E7"/>
      </top>
      <bottom/>
      <diagonal/>
    </border>
    <border>
      <left style="medium">
        <color rgb="FFE3E3E7"/>
      </left>
      <right style="medium">
        <color rgb="FFE3E3E7"/>
      </right>
      <top style="medium">
        <color rgb="FFE3E3E7"/>
      </top>
      <bottom style="medium">
        <color rgb="FFE3E3E7"/>
      </bottom>
      <diagonal/>
    </border>
    <border>
      <left/>
      <right style="medium">
        <color rgb="FFE3E3E7"/>
      </right>
      <top style="medium">
        <color rgb="FFE3E3E7"/>
      </top>
      <bottom/>
      <diagonal/>
    </border>
    <border>
      <left/>
      <right style="medium">
        <color rgb="FFE3E3E7"/>
      </right>
      <top/>
      <bottom/>
      <diagonal/>
    </border>
    <border>
      <left/>
      <right style="medium">
        <color rgb="FFE3E3E7"/>
      </right>
      <top/>
      <bottom style="medium">
        <color rgb="FFE3E3E7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9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3" borderId="1" xfId="0" applyNumberFormat="1" applyFill="1" applyBorder="1"/>
    <xf numFmtId="4" fontId="0" fillId="0" borderId="4" xfId="0" applyNumberFormat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4" fontId="0" fillId="3" borderId="3" xfId="0" applyNumberForma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3" xfId="0" applyNumberFormat="1" applyFill="1" applyBorder="1"/>
    <xf numFmtId="0" fontId="0" fillId="0" borderId="1" xfId="0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/>
    </xf>
    <xf numFmtId="4" fontId="1" fillId="0" borderId="3" xfId="0" applyNumberFormat="1" applyFont="1" applyFill="1" applyBorder="1"/>
    <xf numFmtId="0" fontId="1" fillId="0" borderId="0" xfId="0" applyFont="1" applyFill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1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/>
    <xf numFmtId="4" fontId="2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/>
    <xf numFmtId="14" fontId="0" fillId="0" borderId="1" xfId="0" applyNumberFormat="1" applyFont="1" applyFill="1" applyBorder="1" applyAlignment="1">
      <alignment horizontal="center"/>
    </xf>
    <xf numFmtId="4" fontId="0" fillId="2" borderId="1" xfId="0" applyNumberFormat="1" applyFont="1" applyFill="1" applyBorder="1"/>
    <xf numFmtId="4" fontId="0" fillId="0" borderId="1" xfId="0" applyNumberFormat="1" applyFont="1" applyFill="1" applyBorder="1"/>
    <xf numFmtId="4" fontId="0" fillId="0" borderId="3" xfId="0" applyNumberFormat="1" applyFont="1" applyFill="1" applyBorder="1"/>
    <xf numFmtId="0" fontId="0" fillId="0" borderId="1" xfId="0" applyFont="1" applyFill="1" applyBorder="1" applyAlignment="1">
      <alignment horizontal="center"/>
    </xf>
    <xf numFmtId="0" fontId="0" fillId="0" borderId="0" xfId="0" applyFont="1" applyFill="1"/>
    <xf numFmtId="0" fontId="0" fillId="2" borderId="1" xfId="0" applyFill="1" applyBorder="1" applyAlignment="1">
      <alignment horizontal="center"/>
    </xf>
    <xf numFmtId="9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 applyAlignment="1">
      <alignment horizontal="center"/>
    </xf>
    <xf numFmtId="0" fontId="0" fillId="0" borderId="0" xfId="0" applyFill="1" applyBorder="1"/>
    <xf numFmtId="0" fontId="0" fillId="0" borderId="11" xfId="0" applyFill="1" applyBorder="1"/>
    <xf numFmtId="0" fontId="0" fillId="0" borderId="10" xfId="0" applyBorder="1" applyAlignment="1">
      <alignment horizontal="center"/>
    </xf>
    <xf numFmtId="4" fontId="0" fillId="0" borderId="0" xfId="0" applyNumberFormat="1" applyBorder="1"/>
    <xf numFmtId="0" fontId="0" fillId="0" borderId="0" xfId="0" applyBorder="1"/>
    <xf numFmtId="4" fontId="0" fillId="0" borderId="11" xfId="0" applyNumberFormat="1" applyBorder="1"/>
    <xf numFmtId="9" fontId="0" fillId="0" borderId="10" xfId="0" applyNumberFormat="1" applyBorder="1" applyAlignment="1">
      <alignment horizontal="center"/>
    </xf>
    <xf numFmtId="9" fontId="1" fillId="0" borderId="10" xfId="0" applyNumberFormat="1" applyFont="1" applyBorder="1" applyAlignment="1">
      <alignment horizontal="center"/>
    </xf>
    <xf numFmtId="4" fontId="1" fillId="0" borderId="0" xfId="0" applyNumberFormat="1" applyFont="1" applyBorder="1"/>
    <xf numFmtId="4" fontId="1" fillId="0" borderId="11" xfId="0" applyNumberFormat="1" applyFont="1" applyBorder="1"/>
    <xf numFmtId="9" fontId="1" fillId="6" borderId="10" xfId="0" applyNumberFormat="1" applyFont="1" applyFill="1" applyBorder="1" applyAlignment="1">
      <alignment horizontal="left"/>
    </xf>
    <xf numFmtId="4" fontId="1" fillId="6" borderId="0" xfId="0" applyNumberFormat="1" applyFont="1" applyFill="1" applyBorder="1"/>
    <xf numFmtId="0" fontId="0" fillId="6" borderId="11" xfId="0" applyFill="1" applyBorder="1"/>
    <xf numFmtId="0" fontId="0" fillId="6" borderId="10" xfId="0" applyFill="1" applyBorder="1" applyAlignment="1">
      <alignment horizontal="center"/>
    </xf>
    <xf numFmtId="4" fontId="0" fillId="6" borderId="0" xfId="0" applyNumberFormat="1" applyFill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Fill="1" applyAlignment="1">
      <alignment horizontal="left"/>
    </xf>
    <xf numFmtId="9" fontId="0" fillId="0" borderId="0" xfId="0" applyNumberFormat="1" applyFill="1" applyAlignment="1">
      <alignment horizontal="center"/>
    </xf>
    <xf numFmtId="9" fontId="0" fillId="0" borderId="0" xfId="0" applyNumberFormat="1" applyFill="1"/>
    <xf numFmtId="164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0" borderId="4" xfId="0" applyNumberFormat="1" applyFill="1" applyBorder="1"/>
    <xf numFmtId="4" fontId="0" fillId="6" borderId="0" xfId="0" applyNumberFormat="1" applyFill="1"/>
    <xf numFmtId="4" fontId="0" fillId="0" borderId="0" xfId="0" applyNumberFormat="1" applyFont="1" applyFill="1"/>
    <xf numFmtId="4" fontId="0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/>
    <xf numFmtId="43" fontId="0" fillId="0" borderId="1" xfId="1" applyFont="1" applyBorder="1" applyAlignment="1">
      <alignment horizontal="center"/>
    </xf>
    <xf numFmtId="43" fontId="1" fillId="0" borderId="3" xfId="1" applyFont="1" applyBorder="1" applyAlignment="1">
      <alignment horizontal="center"/>
    </xf>
    <xf numFmtId="0" fontId="8" fillId="5" borderId="5" xfId="0" applyFont="1" applyFill="1" applyBorder="1" applyAlignment="1">
      <alignment horizontal="left" vertical="center" indent="1"/>
    </xf>
    <xf numFmtId="4" fontId="8" fillId="5" borderId="16" xfId="0" applyNumberFormat="1" applyFont="1" applyFill="1" applyBorder="1" applyAlignment="1">
      <alignment horizontal="left" vertical="center" indent="1"/>
    </xf>
    <xf numFmtId="0" fontId="0" fillId="0" borderId="0" xfId="0" applyAlignment="1">
      <alignment horizontal="left" vertical="top"/>
    </xf>
    <xf numFmtId="0" fontId="8" fillId="5" borderId="16" xfId="0" applyFont="1" applyFill="1" applyBorder="1" applyAlignment="1">
      <alignment horizontal="left" vertical="center" indent="1"/>
    </xf>
    <xf numFmtId="0" fontId="8" fillId="5" borderId="6" xfId="0" applyFont="1" applyFill="1" applyBorder="1" applyAlignment="1">
      <alignment horizontal="left" vertical="center" indent="1"/>
    </xf>
    <xf numFmtId="4" fontId="8" fillId="5" borderId="17" xfId="0" applyNumberFormat="1" applyFont="1" applyFill="1" applyBorder="1" applyAlignment="1">
      <alignment horizontal="left" vertical="center" indent="1"/>
    </xf>
    <xf numFmtId="0" fontId="9" fillId="0" borderId="0" xfId="0" applyFont="1" applyAlignment="1">
      <alignment horizontal="left" vertical="center" wrapText="1" indent="1"/>
    </xf>
    <xf numFmtId="0" fontId="10" fillId="7" borderId="5" xfId="0" applyFont="1" applyFill="1" applyBorder="1" applyAlignment="1">
      <alignment horizontal="left" vertical="center" indent="1"/>
    </xf>
    <xf numFmtId="4" fontId="8" fillId="5" borderId="5" xfId="0" applyNumberFormat="1" applyFont="1" applyFill="1" applyBorder="1" applyAlignment="1">
      <alignment horizontal="left" vertical="center" indent="1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0" xfId="0" applyAlignment="1">
      <alignment horizontal="right" vertical="top"/>
    </xf>
    <xf numFmtId="43" fontId="1" fillId="0" borderId="1" xfId="1" applyFont="1" applyBorder="1" applyAlignment="1"/>
    <xf numFmtId="43" fontId="1" fillId="0" borderId="3" xfId="1" applyFont="1" applyBorder="1" applyAlignme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7" borderId="5" xfId="0" applyFont="1" applyFill="1" applyBorder="1" applyAlignment="1">
      <alignment horizontal="left" vertical="center" indent="1"/>
    </xf>
    <xf numFmtId="0" fontId="10" fillId="7" borderId="18" xfId="0" applyFont="1" applyFill="1" applyBorder="1" applyAlignment="1">
      <alignment horizontal="left" vertical="center" indent="1"/>
    </xf>
    <xf numFmtId="43" fontId="1" fillId="0" borderId="0" xfId="1" applyFont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1542410.4100000001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topLeftCell="A12" workbookViewId="0">
      <selection activeCell="K3" sqref="K3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38" t="s">
        <v>8</v>
      </c>
      <c r="T1" s="139"/>
      <c r="U1" s="12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3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7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4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7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7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7">
        <v>23685</v>
      </c>
      <c r="U7" s="15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7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6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7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7">
        <v>37625</v>
      </c>
      <c r="U11" s="18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11">
        <v>2380</v>
      </c>
      <c r="T12" s="17">
        <f>9350+57390</f>
        <v>66740</v>
      </c>
      <c r="U12" s="18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7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7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7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9">
        <v>0</v>
      </c>
      <c r="R16" s="11">
        <f>5660+3575+65120</f>
        <v>74355</v>
      </c>
      <c r="S16" s="9">
        <v>0</v>
      </c>
      <c r="T16" s="17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7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7">
        <f>53475+39315+9885+12755</f>
        <v>115430</v>
      </c>
      <c r="U18" s="3"/>
    </row>
    <row r="19" spans="1:21" x14ac:dyDescent="0.3">
      <c r="A19" s="8">
        <v>45676</v>
      </c>
      <c r="B19" s="19">
        <f>76785</f>
        <v>76785</v>
      </c>
      <c r="C19" s="9">
        <f t="shared" si="0"/>
        <v>69804.545454545456</v>
      </c>
      <c r="D19" s="9">
        <f t="shared" si="1"/>
        <v>6980.454545454546</v>
      </c>
      <c r="E19" s="19">
        <f>650+7325</f>
        <v>7975</v>
      </c>
      <c r="F19" s="9">
        <f t="shared" si="2"/>
        <v>6645.8333333333339</v>
      </c>
      <c r="G19" s="9">
        <f t="shared" si="3"/>
        <v>1329.166666666667</v>
      </c>
      <c r="H19" s="19">
        <v>2940</v>
      </c>
      <c r="I19" s="9">
        <f t="shared" si="4"/>
        <v>2672.7272727272725</v>
      </c>
      <c r="J19" s="9">
        <f t="shared" si="5"/>
        <v>267.27272727272725</v>
      </c>
      <c r="K19" s="19">
        <v>3600</v>
      </c>
      <c r="L19" s="9">
        <f t="shared" si="6"/>
        <v>3000</v>
      </c>
      <c r="M19" s="9">
        <f t="shared" si="7"/>
        <v>600</v>
      </c>
      <c r="N19" s="19">
        <v>450</v>
      </c>
      <c r="O19" s="9">
        <f t="shared" si="8"/>
        <v>375</v>
      </c>
      <c r="P19" s="9">
        <f t="shared" si="9"/>
        <v>75</v>
      </c>
      <c r="Q19" s="19">
        <v>1990</v>
      </c>
      <c r="R19" s="19">
        <f>89110+650</f>
        <v>89760</v>
      </c>
      <c r="S19" s="9">
        <v>0</v>
      </c>
      <c r="T19" s="17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7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4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4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7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7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7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7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4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4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4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F21" workbookViewId="0">
      <selection activeCell="A28" sqref="A28:XFD28"/>
    </sheetView>
  </sheetViews>
  <sheetFormatPr defaultColWidth="8.88671875" defaultRowHeight="14.4" x14ac:dyDescent="0.3"/>
  <cols>
    <col min="1" max="1" width="12.109375" style="54" bestFit="1" customWidth="1"/>
    <col min="2" max="2" width="12.33203125" style="43" bestFit="1" customWidth="1"/>
    <col min="3" max="3" width="11.5546875" style="43" bestFit="1" customWidth="1"/>
    <col min="4" max="4" width="11" style="43" bestFit="1" customWidth="1"/>
    <col min="5" max="5" width="15.109375" style="43" bestFit="1" customWidth="1"/>
    <col min="6" max="6" width="10" style="43" bestFit="1" customWidth="1"/>
    <col min="7" max="7" width="12.109375" style="43" bestFit="1" customWidth="1"/>
    <col min="8" max="8" width="12.33203125" style="43" bestFit="1" customWidth="1"/>
    <col min="9" max="9" width="10" style="43" bestFit="1" customWidth="1"/>
    <col min="10" max="10" width="11" style="43" bestFit="1" customWidth="1"/>
    <col min="11" max="11" width="11.88671875" style="43" bestFit="1" customWidth="1"/>
    <col min="12" max="12" width="10" style="43" bestFit="1" customWidth="1"/>
    <col min="13" max="13" width="9" style="43" bestFit="1" customWidth="1"/>
    <col min="14" max="14" width="10.109375" style="43" bestFit="1" customWidth="1"/>
    <col min="15" max="15" width="15.109375" style="43" bestFit="1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0" style="43" bestFit="1" customWidth="1"/>
    <col min="21" max="21" width="11.5546875" style="43" bestFit="1" customWidth="1"/>
    <col min="22" max="22" width="16.6640625" style="54" bestFit="1" customWidth="1"/>
    <col min="23" max="16384" width="8.88671875" style="43"/>
  </cols>
  <sheetData>
    <row r="1" spans="1:22" x14ac:dyDescent="0.3">
      <c r="A1" s="42" t="s">
        <v>0</v>
      </c>
      <c r="B1" s="41" t="s">
        <v>1</v>
      </c>
      <c r="C1" s="41"/>
      <c r="D1" s="41"/>
      <c r="E1" s="41" t="s">
        <v>2</v>
      </c>
      <c r="F1" s="41"/>
      <c r="G1" s="41"/>
      <c r="H1" s="42" t="s">
        <v>3</v>
      </c>
      <c r="I1" s="41"/>
      <c r="J1" s="41"/>
      <c r="K1" s="42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40" t="s">
        <v>8</v>
      </c>
      <c r="U1" s="141"/>
      <c r="V1" s="42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42"/>
      <c r="R2" s="42"/>
      <c r="S2" s="42"/>
      <c r="T2" s="42" t="s">
        <v>6</v>
      </c>
      <c r="U2" s="46" t="s">
        <v>9</v>
      </c>
      <c r="V2" s="44"/>
    </row>
    <row r="3" spans="1:22" x14ac:dyDescent="0.3">
      <c r="A3" s="47">
        <v>45902</v>
      </c>
      <c r="B3" s="11">
        <f>7800+36000+1900</f>
        <v>45700</v>
      </c>
      <c r="C3" s="48">
        <f>B3/1.1</f>
        <v>41545.454545454544</v>
      </c>
      <c r="D3" s="48">
        <f>C3*0.1</f>
        <v>4154.545454545455</v>
      </c>
      <c r="E3" s="11">
        <f>5985+5855+2175</f>
        <v>14015</v>
      </c>
      <c r="F3" s="48">
        <f>E3/1.2</f>
        <v>11679.166666666668</v>
      </c>
      <c r="G3" s="48">
        <f>F3*0.2</f>
        <v>2335.8333333333335</v>
      </c>
      <c r="H3" s="11">
        <f>1145+2630</f>
        <v>3775</v>
      </c>
      <c r="I3" s="48">
        <f>H3/1.1</f>
        <v>3431.8181818181815</v>
      </c>
      <c r="J3" s="48">
        <f>I3*0.1</f>
        <v>343.18181818181819</v>
      </c>
      <c r="K3" s="11">
        <f>1200+4000+400</f>
        <v>5600</v>
      </c>
      <c r="L3" s="48">
        <f>K3/1.2</f>
        <v>4666.666666666667</v>
      </c>
      <c r="M3" s="48">
        <f>L3*0.2</f>
        <v>933.33333333333348</v>
      </c>
      <c r="N3" s="11">
        <f>543+4448.5+407.5</f>
        <v>5399</v>
      </c>
      <c r="O3" s="48">
        <f>N3/1.2</f>
        <v>4499.166666666667</v>
      </c>
      <c r="P3" s="48">
        <f>O3*0.2</f>
        <v>899.83333333333348</v>
      </c>
      <c r="Q3" s="11">
        <f>9045</f>
        <v>9045</v>
      </c>
      <c r="R3" s="11">
        <f>7628-905+52933.5+4882.5</f>
        <v>64539</v>
      </c>
      <c r="S3" s="11">
        <v>905</v>
      </c>
      <c r="T3" s="48">
        <v>0</v>
      </c>
      <c r="U3" s="49">
        <v>9135</v>
      </c>
      <c r="V3" s="44"/>
    </row>
    <row r="4" spans="1:22" x14ac:dyDescent="0.3">
      <c r="A4" s="47">
        <v>45903</v>
      </c>
      <c r="B4" s="11">
        <f>33500+4800</f>
        <v>38300</v>
      </c>
      <c r="C4" s="48">
        <f t="shared" ref="C4:C26" si="0">B4/1.1</f>
        <v>34818.181818181816</v>
      </c>
      <c r="D4" s="48">
        <f t="shared" ref="D4:D26" si="1">C4*0.1</f>
        <v>3481.818181818182</v>
      </c>
      <c r="E4" s="11">
        <f>2200+7870</f>
        <v>10070</v>
      </c>
      <c r="F4" s="48">
        <f t="shared" ref="F4:F28" si="2">E4/1.2</f>
        <v>8391.6666666666679</v>
      </c>
      <c r="G4" s="48">
        <f t="shared" ref="G4:G26" si="3">F4*0.2</f>
        <v>1678.3333333333337</v>
      </c>
      <c r="H4" s="11">
        <f>1150+2030+1150</f>
        <v>4330</v>
      </c>
      <c r="I4" s="48">
        <f t="shared" ref="I4:I28" si="4">H4/1.1</f>
        <v>3936.363636363636</v>
      </c>
      <c r="J4" s="48">
        <f t="shared" ref="J4:J26" si="5">I4*0.1</f>
        <v>393.63636363636363</v>
      </c>
      <c r="K4" s="11">
        <f>800+4100+400</f>
        <v>5300</v>
      </c>
      <c r="L4" s="48">
        <f t="shared" ref="L4:L28" si="6">K4/1.2</f>
        <v>4416.666666666667</v>
      </c>
      <c r="M4" s="48">
        <f t="shared" ref="M4:M26" si="7">L4*0.2</f>
        <v>883.33333333333348</v>
      </c>
      <c r="N4" s="11">
        <f>415+4390+595</f>
        <v>5400</v>
      </c>
      <c r="O4" s="48">
        <f t="shared" ref="O4:O28" si="8">N4/1.2</f>
        <v>4500</v>
      </c>
      <c r="P4" s="48">
        <f t="shared" ref="P4:P26" si="9">O4*0.2</f>
        <v>900</v>
      </c>
      <c r="Q4" s="48">
        <f>0</f>
        <v>0</v>
      </c>
      <c r="R4" s="11">
        <f>4565+51890+6945</f>
        <v>63400</v>
      </c>
      <c r="S4" s="48">
        <v>0</v>
      </c>
      <c r="T4" s="48">
        <v>0</v>
      </c>
      <c r="U4" s="49">
        <v>24738</v>
      </c>
      <c r="V4" s="50"/>
    </row>
    <row r="5" spans="1:22" x14ac:dyDescent="0.3">
      <c r="A5" s="47">
        <v>45904</v>
      </c>
      <c r="B5" s="11">
        <f>9550+8000</f>
        <v>17550</v>
      </c>
      <c r="C5" s="48">
        <f t="shared" si="0"/>
        <v>15954.545454545454</v>
      </c>
      <c r="D5" s="48">
        <f t="shared" si="1"/>
        <v>1595.4545454545455</v>
      </c>
      <c r="E5" s="11">
        <f>7130+5725+1400</f>
        <v>14255</v>
      </c>
      <c r="F5" s="48">
        <f t="shared" si="2"/>
        <v>11879.166666666668</v>
      </c>
      <c r="G5" s="48">
        <f t="shared" si="3"/>
        <v>2375.8333333333335</v>
      </c>
      <c r="H5" s="11">
        <f>470+255</f>
        <v>725</v>
      </c>
      <c r="I5" s="48">
        <f t="shared" si="4"/>
        <v>659.09090909090901</v>
      </c>
      <c r="J5" s="48">
        <f t="shared" si="5"/>
        <v>65.909090909090907</v>
      </c>
      <c r="K5" s="11">
        <f>2100+1300+400</f>
        <v>3800</v>
      </c>
      <c r="L5" s="48">
        <f t="shared" si="6"/>
        <v>3166.666666666667</v>
      </c>
      <c r="M5" s="48">
        <f t="shared" si="7"/>
        <v>633.33333333333348</v>
      </c>
      <c r="N5" s="11">
        <f>1765+1448+180</f>
        <v>3393</v>
      </c>
      <c r="O5" s="48">
        <f t="shared" si="8"/>
        <v>2827.5</v>
      </c>
      <c r="P5" s="48">
        <f t="shared" si="9"/>
        <v>565.5</v>
      </c>
      <c r="Q5" s="48">
        <f>0</f>
        <v>0</v>
      </c>
      <c r="R5" s="11">
        <f>21015+16728+1980</f>
        <v>39723</v>
      </c>
      <c r="S5" s="48">
        <v>0</v>
      </c>
      <c r="T5" s="48">
        <v>0</v>
      </c>
      <c r="U5" s="49">
        <f>15617.5+31695.5</f>
        <v>47313</v>
      </c>
      <c r="V5" s="44"/>
    </row>
    <row r="6" spans="1:22" x14ac:dyDescent="0.3">
      <c r="A6" s="47">
        <v>45905</v>
      </c>
      <c r="B6" s="11">
        <f>12250+2750</f>
        <v>15000</v>
      </c>
      <c r="C6" s="48">
        <f t="shared" si="0"/>
        <v>13636.363636363636</v>
      </c>
      <c r="D6" s="48">
        <f t="shared" si="1"/>
        <v>1363.6363636363637</v>
      </c>
      <c r="E6" s="11">
        <f>2950+650+5000</f>
        <v>8600</v>
      </c>
      <c r="F6" s="48">
        <f t="shared" si="2"/>
        <v>7166.666666666667</v>
      </c>
      <c r="G6" s="48">
        <f t="shared" si="3"/>
        <v>1433.3333333333335</v>
      </c>
      <c r="H6" s="11">
        <f>370+575</f>
        <v>945</v>
      </c>
      <c r="I6" s="48">
        <f t="shared" si="4"/>
        <v>859.09090909090901</v>
      </c>
      <c r="J6" s="48">
        <f t="shared" si="5"/>
        <v>85.909090909090907</v>
      </c>
      <c r="K6" s="11">
        <f>1600+400+2200</f>
        <v>4200</v>
      </c>
      <c r="L6" s="48">
        <f t="shared" si="6"/>
        <v>3500</v>
      </c>
      <c r="M6" s="48">
        <f t="shared" si="7"/>
        <v>700</v>
      </c>
      <c r="N6" s="11">
        <f>1557+340+777.5</f>
        <v>2674.5</v>
      </c>
      <c r="O6" s="48">
        <f t="shared" si="8"/>
        <v>2228.75</v>
      </c>
      <c r="P6" s="48">
        <f t="shared" si="9"/>
        <v>445.75</v>
      </c>
      <c r="Q6" s="11">
        <f>3400</f>
        <v>3400</v>
      </c>
      <c r="R6" s="11">
        <f>18727+8552.5</f>
        <v>27279.5</v>
      </c>
      <c r="S6" s="11">
        <v>740</v>
      </c>
      <c r="T6" s="48">
        <v>0</v>
      </c>
      <c r="U6" s="49">
        <v>0</v>
      </c>
      <c r="V6" s="44"/>
    </row>
    <row r="7" spans="1:22" x14ac:dyDescent="0.3">
      <c r="A7" s="47">
        <v>45906</v>
      </c>
      <c r="B7" s="11">
        <f>3200+56520+9467.06+650</f>
        <v>69837.06</v>
      </c>
      <c r="C7" s="48">
        <f t="shared" si="0"/>
        <v>63488.236363636359</v>
      </c>
      <c r="D7" s="48">
        <f t="shared" si="1"/>
        <v>6348.8236363636361</v>
      </c>
      <c r="E7" s="11">
        <f>6350+2800+15525+2427.94+11075</f>
        <v>38177.94</v>
      </c>
      <c r="F7" s="48">
        <f t="shared" si="2"/>
        <v>31814.950000000004</v>
      </c>
      <c r="G7" s="48">
        <f t="shared" si="3"/>
        <v>6362.9900000000016</v>
      </c>
      <c r="H7" s="11">
        <f>2570+1430+2120</f>
        <v>6120</v>
      </c>
      <c r="I7" s="48">
        <f t="shared" si="4"/>
        <v>5563.6363636363631</v>
      </c>
      <c r="J7" s="48">
        <f t="shared" si="5"/>
        <v>556.36363636363637</v>
      </c>
      <c r="K7" s="11">
        <f>4500+400+5600+800+2800</f>
        <v>14100</v>
      </c>
      <c r="L7" s="48">
        <f t="shared" si="6"/>
        <v>11750</v>
      </c>
      <c r="M7" s="48">
        <f t="shared" si="7"/>
        <v>2350</v>
      </c>
      <c r="N7" s="11">
        <f>1622+320+7347.5+1945+1624.5</f>
        <v>12859</v>
      </c>
      <c r="O7" s="48">
        <f t="shared" si="8"/>
        <v>10715.833333333334</v>
      </c>
      <c r="P7" s="48">
        <f t="shared" si="9"/>
        <v>2143.166666666667</v>
      </c>
      <c r="Q7" s="11">
        <f>1134.5</f>
        <v>1134.5</v>
      </c>
      <c r="R7" s="11">
        <f>17107.5+3520+86422.5-7115.5+14640-9640+18269.5-1842.5</f>
        <v>121361.5</v>
      </c>
      <c r="S7" s="11">
        <f>7115.5+9640+1842.5</f>
        <v>18598</v>
      </c>
      <c r="T7" s="48">
        <v>1720</v>
      </c>
      <c r="U7" s="49">
        <f>14121+20472.5+10326</f>
        <v>44919.5</v>
      </c>
      <c r="V7" s="44"/>
    </row>
    <row r="8" spans="1:22" x14ac:dyDescent="0.3">
      <c r="A8" s="47">
        <v>45907</v>
      </c>
      <c r="B8" s="11">
        <v>47875</v>
      </c>
      <c r="C8" s="48">
        <f t="shared" si="0"/>
        <v>43522.727272727272</v>
      </c>
      <c r="D8" s="48">
        <f t="shared" si="1"/>
        <v>4352.272727272727</v>
      </c>
      <c r="E8" s="11">
        <f>1450+12045</f>
        <v>13495</v>
      </c>
      <c r="F8" s="48">
        <f t="shared" si="2"/>
        <v>11245.833333333334</v>
      </c>
      <c r="G8" s="48">
        <f t="shared" si="3"/>
        <v>2249.166666666667</v>
      </c>
      <c r="H8" s="11">
        <f>4015</f>
        <v>4015</v>
      </c>
      <c r="I8" s="48">
        <f t="shared" si="4"/>
        <v>3649.9999999999995</v>
      </c>
      <c r="J8" s="48">
        <f t="shared" si="5"/>
        <v>365</v>
      </c>
      <c r="K8" s="11">
        <f>400+5900</f>
        <v>6300</v>
      </c>
      <c r="L8" s="48">
        <f t="shared" si="6"/>
        <v>5250</v>
      </c>
      <c r="M8" s="48">
        <f t="shared" si="7"/>
        <v>1050</v>
      </c>
      <c r="N8" s="11">
        <f>185+5606</f>
        <v>5791</v>
      </c>
      <c r="O8" s="48">
        <f t="shared" si="8"/>
        <v>4825.8333333333339</v>
      </c>
      <c r="P8" s="48">
        <f t="shared" si="9"/>
        <v>965.16666666666686</v>
      </c>
      <c r="Q8" s="48">
        <v>0</v>
      </c>
      <c r="R8" s="11">
        <f>2035+75441-12924</f>
        <v>64552</v>
      </c>
      <c r="S8" s="11">
        <v>12924</v>
      </c>
      <c r="T8" s="48">
        <v>0</v>
      </c>
      <c r="U8" s="49">
        <v>0</v>
      </c>
      <c r="V8" s="44"/>
    </row>
    <row r="9" spans="1:22" x14ac:dyDescent="0.3">
      <c r="A9" s="47">
        <v>45909</v>
      </c>
      <c r="B9" s="11">
        <f>40950+1850</f>
        <v>42800</v>
      </c>
      <c r="C9" s="48">
        <f t="shared" si="0"/>
        <v>38909.090909090904</v>
      </c>
      <c r="D9" s="48">
        <f t="shared" si="1"/>
        <v>3890.9090909090905</v>
      </c>
      <c r="E9" s="11">
        <f>9840</f>
        <v>9840</v>
      </c>
      <c r="F9" s="48">
        <f t="shared" si="2"/>
        <v>8200</v>
      </c>
      <c r="G9" s="48">
        <f t="shared" si="3"/>
        <v>1640</v>
      </c>
      <c r="H9" s="11">
        <f>2050</f>
        <v>2050</v>
      </c>
      <c r="I9" s="48">
        <f t="shared" si="4"/>
        <v>1863.6363636363635</v>
      </c>
      <c r="J9" s="48">
        <f t="shared" si="5"/>
        <v>186.36363636363637</v>
      </c>
      <c r="K9" s="11">
        <f>5050+2700</f>
        <v>7750</v>
      </c>
      <c r="L9" s="48">
        <f t="shared" si="6"/>
        <v>6458.3333333333339</v>
      </c>
      <c r="M9" s="48">
        <f t="shared" si="7"/>
        <v>1291.666666666667</v>
      </c>
      <c r="N9" s="11">
        <f>4916+335</f>
        <v>5251</v>
      </c>
      <c r="O9" s="48">
        <f t="shared" si="8"/>
        <v>4375.8333333333339</v>
      </c>
      <c r="P9" s="48">
        <f t="shared" si="9"/>
        <v>875.16666666666686</v>
      </c>
      <c r="Q9" s="11">
        <v>5330</v>
      </c>
      <c r="R9" s="11">
        <f>57476+4885</f>
        <v>62361</v>
      </c>
      <c r="S9" s="48">
        <v>0</v>
      </c>
      <c r="T9" s="48">
        <v>0</v>
      </c>
      <c r="U9" s="49">
        <v>73739</v>
      </c>
      <c r="V9" s="44"/>
    </row>
    <row r="10" spans="1:22" x14ac:dyDescent="0.3">
      <c r="A10" s="47">
        <v>45910</v>
      </c>
      <c r="B10" s="11">
        <f>26475</f>
        <v>26475</v>
      </c>
      <c r="C10" s="48">
        <f t="shared" si="0"/>
        <v>24068.181818181816</v>
      </c>
      <c r="D10" s="48">
        <f t="shared" si="1"/>
        <v>2406.8181818181815</v>
      </c>
      <c r="E10" s="11">
        <f>3500+5570</f>
        <v>9070</v>
      </c>
      <c r="F10" s="48">
        <f t="shared" si="2"/>
        <v>7558.3333333333339</v>
      </c>
      <c r="G10" s="48">
        <f t="shared" si="3"/>
        <v>1511.666666666667</v>
      </c>
      <c r="H10" s="11">
        <f>235</f>
        <v>235</v>
      </c>
      <c r="I10" s="48">
        <f t="shared" si="4"/>
        <v>213.63636363636363</v>
      </c>
      <c r="J10" s="48">
        <f t="shared" si="5"/>
        <v>21.363636363636363</v>
      </c>
      <c r="K10" s="11">
        <f>800+3000</f>
        <v>3800</v>
      </c>
      <c r="L10" s="48">
        <f t="shared" si="6"/>
        <v>3166.666666666667</v>
      </c>
      <c r="M10" s="48">
        <f t="shared" si="7"/>
        <v>633.33333333333348</v>
      </c>
      <c r="N10" s="11">
        <f>430+3278+500</f>
        <v>4208</v>
      </c>
      <c r="O10" s="48">
        <f t="shared" si="8"/>
        <v>3506.666666666667</v>
      </c>
      <c r="P10" s="48">
        <f t="shared" si="9"/>
        <v>701.33333333333348</v>
      </c>
      <c r="Q10" s="48">
        <f>0</f>
        <v>0</v>
      </c>
      <c r="R10" s="11">
        <f>4730+39058</f>
        <v>43788</v>
      </c>
      <c r="S10" s="48">
        <v>0</v>
      </c>
      <c r="T10" s="48">
        <v>0</v>
      </c>
      <c r="U10" s="49">
        <v>27336.5</v>
      </c>
      <c r="V10" s="44"/>
    </row>
    <row r="11" spans="1:22" x14ac:dyDescent="0.3">
      <c r="A11" s="47">
        <v>45911</v>
      </c>
      <c r="B11" s="11">
        <f>34170+6695</f>
        <v>40865</v>
      </c>
      <c r="C11" s="48">
        <f t="shared" si="0"/>
        <v>37150</v>
      </c>
      <c r="D11" s="48">
        <f t="shared" si="1"/>
        <v>3715</v>
      </c>
      <c r="E11" s="11">
        <f>750+1450+7365</f>
        <v>9565</v>
      </c>
      <c r="F11" s="48">
        <f t="shared" si="2"/>
        <v>7970.8333333333339</v>
      </c>
      <c r="G11" s="48">
        <f t="shared" si="3"/>
        <v>1594.166666666667</v>
      </c>
      <c r="H11" s="11">
        <f>575+2275+360</f>
        <v>3210</v>
      </c>
      <c r="I11" s="48">
        <f t="shared" si="4"/>
        <v>2918.181818181818</v>
      </c>
      <c r="J11" s="48">
        <f t="shared" si="5"/>
        <v>291.81818181818181</v>
      </c>
      <c r="K11" s="11">
        <f>400+4000+400</f>
        <v>4800</v>
      </c>
      <c r="L11" s="48">
        <f t="shared" si="6"/>
        <v>4000</v>
      </c>
      <c r="M11" s="48">
        <f t="shared" si="7"/>
        <v>800</v>
      </c>
      <c r="N11" s="11">
        <f>172.5+145+4381+705.5</f>
        <v>5404</v>
      </c>
      <c r="O11" s="48">
        <f t="shared" si="8"/>
        <v>4503.3333333333339</v>
      </c>
      <c r="P11" s="48">
        <f t="shared" si="9"/>
        <v>900.66666666666686</v>
      </c>
      <c r="Q11" s="11">
        <f>1897.5</f>
        <v>1897.5</v>
      </c>
      <c r="R11" s="11">
        <f>1595+52191+8160.5</f>
        <v>61946.5</v>
      </c>
      <c r="S11" s="48">
        <v>0</v>
      </c>
      <c r="T11" s="48">
        <v>0</v>
      </c>
      <c r="U11" s="49">
        <f>40324.5+12071</f>
        <v>52395.5</v>
      </c>
      <c r="V11" s="44"/>
    </row>
    <row r="12" spans="1:22" x14ac:dyDescent="0.3">
      <c r="A12" s="47">
        <v>45912</v>
      </c>
      <c r="B12" s="11">
        <f>550+33975</f>
        <v>34525</v>
      </c>
      <c r="C12" s="48">
        <f t="shared" si="0"/>
        <v>31386.363636363632</v>
      </c>
      <c r="D12" s="48">
        <f t="shared" si="1"/>
        <v>3138.6363636363635</v>
      </c>
      <c r="E12" s="11">
        <f>6300+2100+5870+1450</f>
        <v>15720</v>
      </c>
      <c r="F12" s="48">
        <f t="shared" si="2"/>
        <v>13100</v>
      </c>
      <c r="G12" s="48">
        <f t="shared" si="3"/>
        <v>2620</v>
      </c>
      <c r="H12" s="11">
        <f>575+575+925</f>
        <v>2075</v>
      </c>
      <c r="I12" s="48">
        <f t="shared" si="4"/>
        <v>1886.3636363636363</v>
      </c>
      <c r="J12" s="48">
        <f t="shared" si="5"/>
        <v>188.63636363636363</v>
      </c>
      <c r="K12" s="11">
        <f>4500+800+3200+450</f>
        <v>8950</v>
      </c>
      <c r="L12" s="48">
        <f t="shared" si="6"/>
        <v>7458.3333333333339</v>
      </c>
      <c r="M12" s="48">
        <f t="shared" si="7"/>
        <v>1491.666666666667</v>
      </c>
      <c r="N12" s="11">
        <f>1192.5+347.5+3199.5+190</f>
        <v>4929.5</v>
      </c>
      <c r="O12" s="48">
        <f t="shared" si="8"/>
        <v>4107.916666666667</v>
      </c>
      <c r="P12" s="48">
        <f t="shared" si="9"/>
        <v>821.58333333333348</v>
      </c>
      <c r="Q12" s="11">
        <f>1242.5</f>
        <v>1242.5</v>
      </c>
      <c r="R12" s="11">
        <f>11875+3822.5+47169.5-10744+2090-1425</f>
        <v>52788</v>
      </c>
      <c r="S12" s="11">
        <f>10744+1425</f>
        <v>12169</v>
      </c>
      <c r="T12" s="48"/>
      <c r="U12" s="49">
        <f>10744+2158+25992.5</f>
        <v>38894.5</v>
      </c>
      <c r="V12" s="44"/>
    </row>
    <row r="13" spans="1:22" s="70" customFormat="1" x14ac:dyDescent="0.3">
      <c r="A13" s="65">
        <v>45913</v>
      </c>
      <c r="B13" s="66">
        <f>62025+11145</f>
        <v>73170</v>
      </c>
      <c r="C13" s="67">
        <f t="shared" si="0"/>
        <v>66518.181818181809</v>
      </c>
      <c r="D13" s="67">
        <f t="shared" si="1"/>
        <v>6651.8181818181811</v>
      </c>
      <c r="E13" s="66">
        <f>25075+9210+13350</f>
        <v>47635</v>
      </c>
      <c r="F13" s="67">
        <f t="shared" si="2"/>
        <v>39695.833333333336</v>
      </c>
      <c r="G13" s="67">
        <f t="shared" si="3"/>
        <v>7939.1666666666679</v>
      </c>
      <c r="H13" s="66">
        <f>575+1725+3155</f>
        <v>5455</v>
      </c>
      <c r="I13" s="67">
        <f t="shared" si="4"/>
        <v>4959.090909090909</v>
      </c>
      <c r="J13" s="67">
        <f t="shared" si="5"/>
        <v>495.90909090909093</v>
      </c>
      <c r="K13" s="66">
        <f>2200+3200+11350</f>
        <v>16750</v>
      </c>
      <c r="L13" s="67">
        <f t="shared" si="6"/>
        <v>13958.333333333334</v>
      </c>
      <c r="M13" s="67">
        <f t="shared" si="7"/>
        <v>2791.666666666667</v>
      </c>
      <c r="N13" s="66">
        <f>1612.5+2408+9500.5</f>
        <v>13521</v>
      </c>
      <c r="O13" s="67">
        <f t="shared" si="8"/>
        <v>11267.5</v>
      </c>
      <c r="P13" s="67">
        <f t="shared" si="9"/>
        <v>2253.5</v>
      </c>
      <c r="Q13" s="66">
        <f>2777.5+1960+1265</f>
        <v>6002.5</v>
      </c>
      <c r="R13" s="66">
        <f>14960+25728+109840.5</f>
        <v>150528.5</v>
      </c>
      <c r="S13" s="67"/>
      <c r="T13" s="67"/>
      <c r="U13" s="68">
        <f>2450+11600+26894.5</f>
        <v>40944.5</v>
      </c>
      <c r="V13" s="69"/>
    </row>
    <row r="14" spans="1:22" x14ac:dyDescent="0.3">
      <c r="A14" s="47">
        <v>45914</v>
      </c>
      <c r="B14" s="11">
        <v>43075</v>
      </c>
      <c r="C14" s="48">
        <f t="shared" si="0"/>
        <v>39159.090909090904</v>
      </c>
      <c r="D14" s="48">
        <f t="shared" si="1"/>
        <v>3915.9090909090905</v>
      </c>
      <c r="E14" s="11">
        <f>3600+10950</f>
        <v>14550</v>
      </c>
      <c r="F14" s="48">
        <f t="shared" si="2"/>
        <v>12125</v>
      </c>
      <c r="G14" s="48">
        <f t="shared" si="3"/>
        <v>2425</v>
      </c>
      <c r="H14" s="11">
        <f>1435</f>
        <v>1435</v>
      </c>
      <c r="I14" s="48">
        <f t="shared" si="4"/>
        <v>1304.5454545454545</v>
      </c>
      <c r="J14" s="48">
        <f t="shared" si="5"/>
        <v>130.45454545454547</v>
      </c>
      <c r="K14" s="11">
        <f>800+6500</f>
        <v>7300</v>
      </c>
      <c r="L14" s="48">
        <f t="shared" si="6"/>
        <v>6083.3333333333339</v>
      </c>
      <c r="M14" s="48">
        <f t="shared" si="7"/>
        <v>1216.6666666666667</v>
      </c>
      <c r="N14" s="11">
        <f>440+5233.5</f>
        <v>5673.5</v>
      </c>
      <c r="O14" s="48">
        <f t="shared" si="8"/>
        <v>4727.916666666667</v>
      </c>
      <c r="P14" s="48">
        <f t="shared" si="9"/>
        <v>945.58333333333348</v>
      </c>
      <c r="Q14" s="48">
        <v>0</v>
      </c>
      <c r="R14" s="11">
        <f>4840+67193.5-5317</f>
        <v>66716.5</v>
      </c>
      <c r="S14" s="11">
        <v>5317</v>
      </c>
      <c r="T14" s="48">
        <v>0</v>
      </c>
      <c r="U14" s="49">
        <v>18192.5</v>
      </c>
      <c r="V14" s="44"/>
    </row>
    <row r="15" spans="1:22" ht="13.95" customHeight="1" x14ac:dyDescent="0.3">
      <c r="A15" s="47">
        <v>45916</v>
      </c>
      <c r="B15" s="11">
        <v>62305</v>
      </c>
      <c r="C15" s="48">
        <f t="shared" si="0"/>
        <v>56640.909090909088</v>
      </c>
      <c r="D15" s="48">
        <f t="shared" si="1"/>
        <v>5664.090909090909</v>
      </c>
      <c r="E15" s="11">
        <v>25257</v>
      </c>
      <c r="F15" s="48">
        <f t="shared" si="2"/>
        <v>21047.5</v>
      </c>
      <c r="G15" s="48">
        <f t="shared" si="3"/>
        <v>4209.5</v>
      </c>
      <c r="H15" s="11">
        <v>2300</v>
      </c>
      <c r="I15" s="48">
        <f t="shared" si="4"/>
        <v>2090.9090909090905</v>
      </c>
      <c r="J15" s="48">
        <f t="shared" si="5"/>
        <v>209.09090909090907</v>
      </c>
      <c r="K15" s="11">
        <v>7000</v>
      </c>
      <c r="L15" s="48">
        <f t="shared" si="6"/>
        <v>5833.3333333333339</v>
      </c>
      <c r="M15" s="48">
        <f t="shared" si="7"/>
        <v>1166.6666666666667</v>
      </c>
      <c r="N15" s="11">
        <v>8448.5</v>
      </c>
      <c r="O15" s="48">
        <f t="shared" si="8"/>
        <v>7040.416666666667</v>
      </c>
      <c r="P15" s="48">
        <f t="shared" si="9"/>
        <v>1408.0833333333335</v>
      </c>
      <c r="Q15" s="11">
        <v>320</v>
      </c>
      <c r="R15" s="11">
        <f>104990.5-6385</f>
        <v>98605.5</v>
      </c>
      <c r="S15" s="11">
        <v>6385</v>
      </c>
      <c r="T15" s="48">
        <v>0</v>
      </c>
      <c r="U15" s="49">
        <v>0</v>
      </c>
      <c r="V15" s="71"/>
    </row>
    <row r="16" spans="1:22" x14ac:dyDescent="0.3">
      <c r="A16" s="47">
        <v>45917</v>
      </c>
      <c r="B16" s="11">
        <f>51275+11400</f>
        <v>62675</v>
      </c>
      <c r="C16" s="48">
        <f t="shared" si="0"/>
        <v>56977.272727272721</v>
      </c>
      <c r="D16" s="48">
        <f t="shared" si="1"/>
        <v>5697.7272727272721</v>
      </c>
      <c r="E16" s="11">
        <f>1400+14980+1785</f>
        <v>18165</v>
      </c>
      <c r="F16" s="48">
        <f t="shared" si="2"/>
        <v>15137.5</v>
      </c>
      <c r="G16" s="48">
        <f t="shared" si="3"/>
        <v>3027.5</v>
      </c>
      <c r="H16" s="11">
        <f>1945</f>
        <v>1945</v>
      </c>
      <c r="I16" s="48">
        <f t="shared" si="4"/>
        <v>1768.181818181818</v>
      </c>
      <c r="J16" s="48">
        <f t="shared" si="5"/>
        <v>176.81818181818181</v>
      </c>
      <c r="K16" s="11">
        <f>400+6750+800</f>
        <v>7950</v>
      </c>
      <c r="L16" s="48">
        <f t="shared" si="6"/>
        <v>6625</v>
      </c>
      <c r="M16" s="48">
        <f t="shared" si="7"/>
        <v>1325</v>
      </c>
      <c r="N16" s="11">
        <f>180+6895+1318.5</f>
        <v>8393.5</v>
      </c>
      <c r="O16" s="48">
        <f t="shared" si="8"/>
        <v>6994.5833333333339</v>
      </c>
      <c r="P16" s="48">
        <f t="shared" si="9"/>
        <v>1398.916666666667</v>
      </c>
      <c r="Q16" s="48">
        <f>0</f>
        <v>0</v>
      </c>
      <c r="R16" s="11">
        <f>1980+81845-4651.5+15303.5</f>
        <v>94477</v>
      </c>
      <c r="S16" s="11">
        <v>4651.5</v>
      </c>
      <c r="T16" s="48">
        <v>0</v>
      </c>
      <c r="U16" s="49">
        <v>6862.5</v>
      </c>
      <c r="V16" s="44"/>
    </row>
    <row r="17" spans="1:23" x14ac:dyDescent="0.3">
      <c r="A17" s="47">
        <v>45918</v>
      </c>
      <c r="B17" s="11">
        <f>1700+27810</f>
        <v>29510</v>
      </c>
      <c r="C17" s="48">
        <f t="shared" si="0"/>
        <v>26827.272727272724</v>
      </c>
      <c r="D17" s="48">
        <f t="shared" si="1"/>
        <v>2682.7272727272725</v>
      </c>
      <c r="E17" s="11">
        <f>2485+4890</f>
        <v>7375</v>
      </c>
      <c r="F17" s="48">
        <f t="shared" si="2"/>
        <v>6145.8333333333339</v>
      </c>
      <c r="G17" s="48">
        <f t="shared" si="3"/>
        <v>1229.166666666667</v>
      </c>
      <c r="H17" s="11">
        <f>135</f>
        <v>135</v>
      </c>
      <c r="I17" s="48">
        <f t="shared" si="4"/>
        <v>122.72727272727272</v>
      </c>
      <c r="J17" s="48">
        <f t="shared" si="5"/>
        <v>12.272727272727273</v>
      </c>
      <c r="K17" s="11">
        <f>400+1600</f>
        <v>2000</v>
      </c>
      <c r="L17" s="48">
        <f t="shared" si="6"/>
        <v>1666.6666666666667</v>
      </c>
      <c r="M17" s="48">
        <f t="shared" si="7"/>
        <v>333.33333333333337</v>
      </c>
      <c r="N17" s="11">
        <f>418.5+2557.5</f>
        <v>2976</v>
      </c>
      <c r="O17" s="48">
        <f t="shared" si="8"/>
        <v>2480</v>
      </c>
      <c r="P17" s="48">
        <f t="shared" si="9"/>
        <v>496</v>
      </c>
      <c r="Q17" s="11">
        <v>2460</v>
      </c>
      <c r="R17" s="11">
        <f>5003.5+34532.5-5000</f>
        <v>34536</v>
      </c>
      <c r="S17" s="11">
        <v>5000</v>
      </c>
      <c r="T17" s="48">
        <v>14800</v>
      </c>
      <c r="U17" s="49">
        <f>12500+13200</f>
        <v>25700</v>
      </c>
      <c r="V17" s="44"/>
    </row>
    <row r="18" spans="1:23" x14ac:dyDescent="0.3">
      <c r="A18" s="47">
        <v>45919</v>
      </c>
      <c r="B18" s="11">
        <f>37650+5725</f>
        <v>43375</v>
      </c>
      <c r="C18" s="48">
        <f t="shared" si="0"/>
        <v>39431.818181818177</v>
      </c>
      <c r="D18" s="48">
        <f t="shared" si="1"/>
        <v>3943.181818181818</v>
      </c>
      <c r="E18" s="11">
        <f>4900+21245+8835</f>
        <v>34980</v>
      </c>
      <c r="F18" s="48">
        <f t="shared" si="2"/>
        <v>29150</v>
      </c>
      <c r="G18" s="48">
        <f t="shared" si="3"/>
        <v>5830</v>
      </c>
      <c r="H18" s="11">
        <f>1150+1860</f>
        <v>3010</v>
      </c>
      <c r="I18" s="48">
        <f t="shared" si="4"/>
        <v>2736.363636363636</v>
      </c>
      <c r="J18" s="48">
        <f t="shared" si="5"/>
        <v>273.63636363636363</v>
      </c>
      <c r="K18" s="11">
        <f>3550+4400+3500</f>
        <v>11450</v>
      </c>
      <c r="L18" s="48">
        <f t="shared" si="6"/>
        <v>9541.6666666666679</v>
      </c>
      <c r="M18" s="48">
        <f t="shared" si="7"/>
        <v>1908.3333333333337</v>
      </c>
      <c r="N18" s="11">
        <f>960+6075.5+1646</f>
        <v>8681.5</v>
      </c>
      <c r="O18" s="48">
        <f t="shared" si="8"/>
        <v>7234.5833333333339</v>
      </c>
      <c r="P18" s="48">
        <f t="shared" si="9"/>
        <v>1446.916666666667</v>
      </c>
      <c r="Q18" s="11">
        <f>2314.5</f>
        <v>2314.5</v>
      </c>
      <c r="R18" s="11">
        <f>8245.5+71230.5-13257.5+19706</f>
        <v>85924.5</v>
      </c>
      <c r="S18" s="11">
        <v>13257.5</v>
      </c>
      <c r="T18" s="48">
        <v>915</v>
      </c>
      <c r="U18" s="49">
        <f>39419.5+31101.5</f>
        <v>70521</v>
      </c>
      <c r="V18" s="44"/>
    </row>
    <row r="19" spans="1:23" x14ac:dyDescent="0.3">
      <c r="A19" s="47">
        <v>45920</v>
      </c>
      <c r="B19" s="11">
        <f>101315+550</f>
        <v>101865</v>
      </c>
      <c r="C19" s="48">
        <f t="shared" si="0"/>
        <v>92604.545454545441</v>
      </c>
      <c r="D19" s="48">
        <f t="shared" si="1"/>
        <v>9260.4545454545441</v>
      </c>
      <c r="E19" s="11">
        <f>26075+5800+17425</f>
        <v>49300</v>
      </c>
      <c r="F19" s="48">
        <f t="shared" si="2"/>
        <v>41083.333333333336</v>
      </c>
      <c r="G19" s="48">
        <f t="shared" si="3"/>
        <v>8216.6666666666679</v>
      </c>
      <c r="H19" s="11">
        <f>6050+1725</f>
        <v>7775</v>
      </c>
      <c r="I19" s="48">
        <f t="shared" si="4"/>
        <v>7068.181818181818</v>
      </c>
      <c r="J19" s="48">
        <f t="shared" si="5"/>
        <v>706.81818181818187</v>
      </c>
      <c r="K19" s="11">
        <f>10800+400+2200</f>
        <v>13400</v>
      </c>
      <c r="L19" s="48">
        <f t="shared" si="6"/>
        <v>11166.666666666668</v>
      </c>
      <c r="M19" s="48">
        <f t="shared" si="7"/>
        <v>2233.3333333333335</v>
      </c>
      <c r="N19" s="11">
        <f>12054+550+2132.5</f>
        <v>14736.5</v>
      </c>
      <c r="O19" s="48">
        <f t="shared" si="8"/>
        <v>12280.416666666668</v>
      </c>
      <c r="P19" s="48">
        <f t="shared" si="9"/>
        <v>2456.0833333333339</v>
      </c>
      <c r="Q19" s="11">
        <f>825+700</f>
        <v>1525</v>
      </c>
      <c r="R19" s="11">
        <f>155469+6050+24032.5-1045</f>
        <v>184506.5</v>
      </c>
      <c r="S19" s="11">
        <v>1045</v>
      </c>
      <c r="T19" s="48"/>
      <c r="U19" s="49">
        <f>61800+11961.5</f>
        <v>73761.5</v>
      </c>
      <c r="V19" s="44"/>
    </row>
    <row r="20" spans="1:23" x14ac:dyDescent="0.3">
      <c r="A20" s="47">
        <v>45921</v>
      </c>
      <c r="B20" s="11">
        <f>33695+2400</f>
        <v>36095</v>
      </c>
      <c r="C20" s="48">
        <f t="shared" si="0"/>
        <v>32813.63636363636</v>
      </c>
      <c r="D20" s="48">
        <f t="shared" si="1"/>
        <v>3281.363636363636</v>
      </c>
      <c r="E20" s="11">
        <f>5650+6095+2100</f>
        <v>13845</v>
      </c>
      <c r="F20" s="48">
        <f t="shared" si="2"/>
        <v>11537.5</v>
      </c>
      <c r="G20" s="48">
        <f t="shared" si="3"/>
        <v>2307.5</v>
      </c>
      <c r="H20" s="11">
        <f>575</f>
        <v>575</v>
      </c>
      <c r="I20" s="48">
        <f t="shared" si="4"/>
        <v>522.72727272727263</v>
      </c>
      <c r="J20" s="48">
        <f t="shared" si="5"/>
        <v>52.272727272727266</v>
      </c>
      <c r="K20" s="11">
        <f>1700+3600+1250</f>
        <v>6550</v>
      </c>
      <c r="L20" s="48">
        <f t="shared" si="6"/>
        <v>5458.3333333333339</v>
      </c>
      <c r="M20" s="48">
        <f t="shared" si="7"/>
        <v>1091.6666666666667</v>
      </c>
      <c r="N20" s="11">
        <f>735+4036.5+575</f>
        <v>5346.5</v>
      </c>
      <c r="O20" s="48">
        <f t="shared" si="8"/>
        <v>4455.416666666667</v>
      </c>
      <c r="P20" s="48">
        <f t="shared" si="9"/>
        <v>891.08333333333348</v>
      </c>
      <c r="Q20" s="11">
        <f>1400</f>
        <v>1400</v>
      </c>
      <c r="R20" s="11">
        <f>8085+48001.5-5845+4925</f>
        <v>55166.5</v>
      </c>
      <c r="S20" s="11">
        <v>5845</v>
      </c>
      <c r="T20" s="48"/>
      <c r="U20" s="49">
        <f>20842.5+10500</f>
        <v>31342.5</v>
      </c>
      <c r="V20" s="44"/>
    </row>
    <row r="21" spans="1:23" x14ac:dyDescent="0.3">
      <c r="A21" s="47">
        <v>45923</v>
      </c>
      <c r="B21" s="11">
        <f>19295+33385+11500</f>
        <v>64180</v>
      </c>
      <c r="C21" s="48">
        <f t="shared" si="0"/>
        <v>58345.454545454544</v>
      </c>
      <c r="D21" s="48">
        <f t="shared" si="1"/>
        <v>5834.545454545455</v>
      </c>
      <c r="E21" s="11">
        <f>7975+17285+7785</f>
        <v>33045</v>
      </c>
      <c r="F21" s="48">
        <f t="shared" si="2"/>
        <v>27537.5</v>
      </c>
      <c r="G21" s="48">
        <f t="shared" si="3"/>
        <v>5507.5</v>
      </c>
      <c r="H21" s="11">
        <f>3570+1415+270</f>
        <v>5255</v>
      </c>
      <c r="I21" s="48">
        <f t="shared" si="4"/>
        <v>4777.272727272727</v>
      </c>
      <c r="J21" s="48">
        <f t="shared" si="5"/>
        <v>477.72727272727275</v>
      </c>
      <c r="K21" s="11">
        <f>3000+4200+1200</f>
        <v>8400</v>
      </c>
      <c r="L21" s="48">
        <f t="shared" si="6"/>
        <v>7000</v>
      </c>
      <c r="M21" s="48">
        <f t="shared" si="7"/>
        <v>1400</v>
      </c>
      <c r="N21" s="11">
        <f>2690+5208.5+1820.5</f>
        <v>9719</v>
      </c>
      <c r="O21" s="48">
        <f t="shared" si="8"/>
        <v>8099.166666666667</v>
      </c>
      <c r="P21" s="48">
        <f t="shared" si="9"/>
        <v>1619.8333333333335</v>
      </c>
      <c r="Q21" s="11">
        <f>4507</f>
        <v>4507</v>
      </c>
      <c r="R21" s="11">
        <f>32023+61493.5+22575.5-7990</f>
        <v>108102</v>
      </c>
      <c r="S21" s="11">
        <v>7990</v>
      </c>
      <c r="T21" s="48">
        <v>0</v>
      </c>
      <c r="U21" s="49">
        <f>55260</f>
        <v>55260</v>
      </c>
      <c r="V21" s="44"/>
    </row>
    <row r="22" spans="1:23" x14ac:dyDescent="0.3">
      <c r="A22" s="47">
        <v>45924</v>
      </c>
      <c r="B22" s="11">
        <f>55290+3450+1375</f>
        <v>60115</v>
      </c>
      <c r="C22" s="48">
        <f t="shared" si="0"/>
        <v>54649.999999999993</v>
      </c>
      <c r="D22" s="48">
        <f t="shared" si="1"/>
        <v>5465</v>
      </c>
      <c r="E22" s="11">
        <f>2800+13190+2800+1785</f>
        <v>20575</v>
      </c>
      <c r="F22" s="48">
        <f t="shared" si="2"/>
        <v>17145.833333333336</v>
      </c>
      <c r="G22" s="48">
        <f t="shared" si="3"/>
        <v>3429.1666666666674</v>
      </c>
      <c r="H22" s="11">
        <f>1725+2240</f>
        <v>3965</v>
      </c>
      <c r="I22" s="48">
        <f t="shared" si="4"/>
        <v>3604.545454545454</v>
      </c>
      <c r="J22" s="48">
        <f t="shared" si="5"/>
        <v>360.45454545454544</v>
      </c>
      <c r="K22" s="11">
        <f>1200+5600+400+400</f>
        <v>7600</v>
      </c>
      <c r="L22" s="48">
        <f t="shared" si="6"/>
        <v>6333.3333333333339</v>
      </c>
      <c r="M22" s="48">
        <f t="shared" si="7"/>
        <v>1266.666666666667</v>
      </c>
      <c r="N22" s="11">
        <f>572.5+7132+625+316</f>
        <v>8645.5</v>
      </c>
      <c r="O22" s="48">
        <f t="shared" si="8"/>
        <v>7204.5833333333339</v>
      </c>
      <c r="P22" s="48">
        <f t="shared" si="9"/>
        <v>1440.916666666667</v>
      </c>
      <c r="Q22" s="48">
        <f>0</f>
        <v>0</v>
      </c>
      <c r="R22" s="11">
        <f>6297.5-4317.5+83452-12647+7275+3876</f>
        <v>83936</v>
      </c>
      <c r="S22" s="11">
        <f>4317.5+12647</f>
        <v>16964.5</v>
      </c>
      <c r="T22" s="48">
        <v>0</v>
      </c>
      <c r="U22" s="49">
        <v>0</v>
      </c>
      <c r="V22" s="44"/>
    </row>
    <row r="23" spans="1:23" x14ac:dyDescent="0.3">
      <c r="A23" s="47">
        <v>45925</v>
      </c>
      <c r="B23" s="11">
        <f>9750+12500</f>
        <v>22250</v>
      </c>
      <c r="C23" s="48">
        <f t="shared" ref="C23" si="10">B23/1.1</f>
        <v>20227.272727272724</v>
      </c>
      <c r="D23" s="48">
        <f t="shared" ref="D23" si="11">C23*0.1</f>
        <v>2022.7272727272725</v>
      </c>
      <c r="E23" s="11">
        <f>2425+4780+3875</f>
        <v>11080</v>
      </c>
      <c r="F23" s="48">
        <f t="shared" ref="F23" si="12">E23/1.2</f>
        <v>9233.3333333333339</v>
      </c>
      <c r="G23" s="48">
        <f t="shared" ref="G23" si="13">F23*0.2</f>
        <v>1846.666666666667</v>
      </c>
      <c r="H23" s="11">
        <f>135+1350</f>
        <v>1485</v>
      </c>
      <c r="I23" s="48">
        <f t="shared" ref="I23" si="14">H23/1.1</f>
        <v>1350</v>
      </c>
      <c r="J23" s="48">
        <f t="shared" ref="J23" si="15">I23*0.1</f>
        <v>135</v>
      </c>
      <c r="K23" s="11">
        <f>1200+1400+800</f>
        <v>3400</v>
      </c>
      <c r="L23" s="48">
        <f t="shared" ref="L23" si="16">K23/1.2</f>
        <v>2833.3333333333335</v>
      </c>
      <c r="M23" s="48">
        <f t="shared" ref="M23" si="17">L23*0.2</f>
        <v>566.66666666666674</v>
      </c>
      <c r="N23" s="11">
        <f>1392.5+1561+467.5</f>
        <v>3421</v>
      </c>
      <c r="O23" s="48">
        <f t="shared" ref="O23" si="18">N23/1.2</f>
        <v>2850.8333333333335</v>
      </c>
      <c r="P23" s="48">
        <f t="shared" ref="P23" si="19">O23*0.2</f>
        <v>570.16666666666674</v>
      </c>
      <c r="Q23" s="48">
        <f>0</f>
        <v>0</v>
      </c>
      <c r="R23" s="11">
        <f>16117.5+20376+5142.5</f>
        <v>41636</v>
      </c>
      <c r="S23" s="48">
        <v>0</v>
      </c>
      <c r="T23" s="48">
        <v>0</v>
      </c>
      <c r="U23" s="49">
        <f>24257.5+1200</f>
        <v>25457.5</v>
      </c>
      <c r="V23" s="44"/>
    </row>
    <row r="24" spans="1:23" x14ac:dyDescent="0.3">
      <c r="A24" s="47">
        <v>45926</v>
      </c>
      <c r="B24" s="11">
        <f>49495+8325</f>
        <v>57820</v>
      </c>
      <c r="C24" s="48">
        <f t="shared" si="0"/>
        <v>52563.63636363636</v>
      </c>
      <c r="D24" s="48">
        <f t="shared" si="1"/>
        <v>5256.363636363636</v>
      </c>
      <c r="E24" s="11">
        <f>18985+8940+10700</f>
        <v>38625</v>
      </c>
      <c r="F24" s="48">
        <f t="shared" si="2"/>
        <v>32187.5</v>
      </c>
      <c r="G24" s="48">
        <f t="shared" si="3"/>
        <v>6437.5</v>
      </c>
      <c r="H24" s="11">
        <f>1325+200</f>
        <v>1525</v>
      </c>
      <c r="I24" s="48">
        <f t="shared" si="4"/>
        <v>1386.3636363636363</v>
      </c>
      <c r="J24" s="48">
        <f t="shared" si="5"/>
        <v>138.63636363636363</v>
      </c>
      <c r="K24" s="11">
        <f>4600+1500+1800</f>
        <v>7900</v>
      </c>
      <c r="L24" s="48">
        <f t="shared" si="6"/>
        <v>6583.3333333333339</v>
      </c>
      <c r="M24" s="48">
        <f t="shared" si="7"/>
        <v>1316.666666666667</v>
      </c>
      <c r="N24" s="11">
        <f>6203+1796.5+1250</f>
        <v>9249.5</v>
      </c>
      <c r="O24" s="48">
        <f t="shared" si="8"/>
        <v>7707.916666666667</v>
      </c>
      <c r="P24" s="48">
        <f t="shared" si="9"/>
        <v>1541.5833333333335</v>
      </c>
      <c r="Q24" s="48">
        <f>0</f>
        <v>0</v>
      </c>
      <c r="R24" s="11">
        <f>80608-31412.5+20761.5+13750</f>
        <v>83707</v>
      </c>
      <c r="S24" s="11">
        <v>31412.5</v>
      </c>
      <c r="T24" s="48">
        <v>0</v>
      </c>
      <c r="U24" s="49">
        <f>24000</f>
        <v>24000</v>
      </c>
      <c r="V24" s="44"/>
    </row>
    <row r="25" spans="1:23" x14ac:dyDescent="0.3">
      <c r="A25" s="47">
        <v>45927</v>
      </c>
      <c r="B25" s="11">
        <f>29575+3500</f>
        <v>33075</v>
      </c>
      <c r="C25" s="48">
        <f t="shared" si="0"/>
        <v>30068.181818181816</v>
      </c>
      <c r="D25" s="48">
        <f t="shared" si="1"/>
        <v>3006.818181818182</v>
      </c>
      <c r="E25" s="11">
        <f>10220+9525+4300+18100</f>
        <v>42145</v>
      </c>
      <c r="F25" s="48">
        <f t="shared" si="2"/>
        <v>35120.833333333336</v>
      </c>
      <c r="G25" s="48">
        <f t="shared" si="3"/>
        <v>7024.1666666666679</v>
      </c>
      <c r="H25" s="11">
        <f>500+90+1725+575</f>
        <v>2890</v>
      </c>
      <c r="I25" s="48">
        <f t="shared" si="4"/>
        <v>2627.272727272727</v>
      </c>
      <c r="J25" s="48">
        <f t="shared" si="5"/>
        <v>262.72727272727269</v>
      </c>
      <c r="K25" s="11">
        <f>3600+800+1400+3200</f>
        <v>9000</v>
      </c>
      <c r="L25" s="48">
        <f t="shared" si="6"/>
        <v>7500</v>
      </c>
      <c r="M25" s="48">
        <f t="shared" si="7"/>
        <v>1500</v>
      </c>
      <c r="N25" s="11">
        <f>4029.5+1351.5+722.5+2187.5</f>
        <v>8291</v>
      </c>
      <c r="O25" s="48">
        <f t="shared" si="8"/>
        <v>6909.166666666667</v>
      </c>
      <c r="P25" s="48">
        <f t="shared" si="9"/>
        <v>1381.8333333333335</v>
      </c>
      <c r="Q25" s="11">
        <v>200</v>
      </c>
      <c r="R25" s="11">
        <f>47924.5-11068.5+15266.5+7947.5-3437.5+24062.5</f>
        <v>80695</v>
      </c>
      <c r="S25" s="11">
        <f>11068.5+3437.5</f>
        <v>14506</v>
      </c>
      <c r="T25" s="48"/>
      <c r="U25" s="49">
        <f>34816+10619</f>
        <v>45435</v>
      </c>
      <c r="V25" s="44"/>
    </row>
    <row r="26" spans="1:23" x14ac:dyDescent="0.3">
      <c r="A26" s="47">
        <v>45928</v>
      </c>
      <c r="B26" s="11">
        <v>83140</v>
      </c>
      <c r="C26" s="48">
        <f t="shared" si="0"/>
        <v>75581.818181818177</v>
      </c>
      <c r="D26" s="48">
        <f t="shared" si="1"/>
        <v>7558.181818181818</v>
      </c>
      <c r="E26" s="11">
        <f>1500+7160</f>
        <v>8660</v>
      </c>
      <c r="F26" s="48">
        <f t="shared" si="2"/>
        <v>7216.666666666667</v>
      </c>
      <c r="G26" s="48">
        <f t="shared" si="3"/>
        <v>1443.3333333333335</v>
      </c>
      <c r="H26" s="11">
        <f>4615</f>
        <v>4615</v>
      </c>
      <c r="I26" s="48">
        <f t="shared" si="4"/>
        <v>4195.454545454545</v>
      </c>
      <c r="J26" s="48">
        <f t="shared" si="5"/>
        <v>419.5454545454545</v>
      </c>
      <c r="K26" s="11">
        <f>400+4600</f>
        <v>5000</v>
      </c>
      <c r="L26" s="48">
        <f t="shared" si="6"/>
        <v>4166.666666666667</v>
      </c>
      <c r="M26" s="48">
        <f t="shared" si="7"/>
        <v>833.33333333333348</v>
      </c>
      <c r="N26" s="11">
        <f>190+5724.5</f>
        <v>5914.5</v>
      </c>
      <c r="O26" s="48">
        <f t="shared" si="8"/>
        <v>4928.75</v>
      </c>
      <c r="P26" s="48">
        <f t="shared" si="9"/>
        <v>985.75</v>
      </c>
      <c r="Q26" s="11">
        <v>9675</v>
      </c>
      <c r="R26" s="11">
        <f>2090-2090+95564.5-13258</f>
        <v>82306.5</v>
      </c>
      <c r="S26" s="11">
        <f>2090+13258</f>
        <v>15348</v>
      </c>
      <c r="T26" s="48">
        <v>0</v>
      </c>
      <c r="U26" s="49">
        <v>0</v>
      </c>
      <c r="V26" s="44"/>
    </row>
    <row r="27" spans="1:23" x14ac:dyDescent="0.3">
      <c r="A27" s="47">
        <v>45930</v>
      </c>
      <c r="B27" s="11">
        <f>18475+4070</f>
        <v>22545</v>
      </c>
      <c r="C27" s="48">
        <f t="shared" ref="C27" si="20">B27/1.1</f>
        <v>20495.454545454544</v>
      </c>
      <c r="D27" s="48">
        <f t="shared" ref="D27" si="21">C27*0.1</f>
        <v>2049.5454545454545</v>
      </c>
      <c r="E27" s="11">
        <f>6360+1150+1400</f>
        <v>8910</v>
      </c>
      <c r="F27" s="48">
        <f t="shared" ref="F27" si="22">E27/1.2</f>
        <v>7425</v>
      </c>
      <c r="G27" s="48">
        <f t="shared" ref="G27" si="23">F27*0.2</f>
        <v>1485</v>
      </c>
      <c r="H27" s="11">
        <f>965+1725</f>
        <v>2690</v>
      </c>
      <c r="I27" s="48">
        <f t="shared" ref="I27" si="24">H27/1.1</f>
        <v>2445.454545454545</v>
      </c>
      <c r="J27" s="48">
        <f t="shared" ref="J27" si="25">I27*0.1</f>
        <v>244.5454545454545</v>
      </c>
      <c r="K27" s="11">
        <f>2400+400+1750</f>
        <v>4550</v>
      </c>
      <c r="L27" s="48">
        <f t="shared" ref="L27" si="26">K27/1.2</f>
        <v>3791.666666666667</v>
      </c>
      <c r="M27" s="48">
        <f t="shared" ref="M27" si="27">L27*0.2</f>
        <v>758.33333333333348</v>
      </c>
      <c r="N27" s="11">
        <f>2580+250+522+487.5</f>
        <v>3839.5</v>
      </c>
      <c r="O27" s="48">
        <f t="shared" ref="O27" si="28">N27/1.2</f>
        <v>3199.5833333333335</v>
      </c>
      <c r="P27" s="48">
        <f t="shared" ref="P27" si="29">O27*0.2</f>
        <v>639.91666666666674</v>
      </c>
      <c r="Q27" s="11">
        <v>2196.5</v>
      </c>
      <c r="R27" s="11">
        <f>31030+6142+3166</f>
        <v>40338</v>
      </c>
      <c r="S27" s="48">
        <v>0</v>
      </c>
      <c r="T27" s="48">
        <v>0</v>
      </c>
      <c r="U27" s="49">
        <f>9915+28069</f>
        <v>37984</v>
      </c>
      <c r="V27" s="44"/>
    </row>
    <row r="28" spans="1:23" x14ac:dyDescent="0.3">
      <c r="B28" s="55">
        <f>SUM(B3:B27)</f>
        <v>1174122.06</v>
      </c>
      <c r="C28" s="56">
        <f>B28/1.1</f>
        <v>1067383.6909090909</v>
      </c>
      <c r="D28" s="56">
        <f t="shared" ref="D28" si="30">C28*10/100</f>
        <v>106738.36909090909</v>
      </c>
      <c r="E28" s="55">
        <f>SUM(E3:E27)</f>
        <v>516954.94</v>
      </c>
      <c r="F28" s="56">
        <f t="shared" si="2"/>
        <v>430795.78333333333</v>
      </c>
      <c r="G28" s="56">
        <f t="shared" ref="G28" si="31">F28*20/100</f>
        <v>86159.156666666662</v>
      </c>
      <c r="H28" s="55">
        <f>SUM(H3:H27)</f>
        <v>72535</v>
      </c>
      <c r="I28" s="56">
        <f t="shared" si="4"/>
        <v>65940.909090909088</v>
      </c>
      <c r="J28" s="56">
        <f t="shared" ref="J28" si="32">I28*10/100</f>
        <v>6594.0909090909081</v>
      </c>
      <c r="K28" s="55">
        <f>SUM(K3:K27)</f>
        <v>182850</v>
      </c>
      <c r="L28" s="56">
        <f t="shared" si="6"/>
        <v>152375</v>
      </c>
      <c r="M28" s="56">
        <f t="shared" ref="M28" si="33">L28*20/100</f>
        <v>30475</v>
      </c>
      <c r="N28" s="55">
        <f>SUM(N3:N27)</f>
        <v>172166</v>
      </c>
      <c r="O28" s="56">
        <f t="shared" si="8"/>
        <v>143471.66666666669</v>
      </c>
      <c r="P28" s="56">
        <f t="shared" ref="P28" si="34">O28*20/100</f>
        <v>28694.333333333339</v>
      </c>
      <c r="Q28" s="55">
        <f>SUM(Q3:Q27)</f>
        <v>52650</v>
      </c>
      <c r="R28" s="55">
        <f>SUM(R3:R27)</f>
        <v>1892920</v>
      </c>
      <c r="S28" s="55">
        <f>SUM(S3:S27)</f>
        <v>173058</v>
      </c>
      <c r="T28" s="55">
        <f>SUM(T3:T27)</f>
        <v>17435</v>
      </c>
      <c r="U28" s="55">
        <f>SUM(U3:U27)</f>
        <v>773932</v>
      </c>
      <c r="V28" s="44"/>
    </row>
    <row r="29" spans="1:23" x14ac:dyDescent="0.3">
      <c r="B29" s="55"/>
      <c r="C29" s="107"/>
      <c r="D29" s="107"/>
      <c r="E29" s="55"/>
      <c r="F29" s="107"/>
      <c r="G29" s="107"/>
      <c r="H29" s="55"/>
      <c r="I29" s="107"/>
      <c r="J29" s="107"/>
      <c r="K29" s="55"/>
      <c r="L29" s="107"/>
      <c r="M29" s="107"/>
      <c r="N29" s="55"/>
      <c r="O29" s="107"/>
      <c r="P29" s="107"/>
      <c r="Q29" s="55"/>
      <c r="R29" s="55"/>
      <c r="S29" s="55"/>
      <c r="T29" s="55"/>
      <c r="U29" s="55"/>
      <c r="V29" s="108"/>
    </row>
    <row r="30" spans="1:23" x14ac:dyDescent="0.3">
      <c r="A30" s="54" t="s">
        <v>37</v>
      </c>
      <c r="B30" s="55">
        <v>132514.49</v>
      </c>
      <c r="C30" s="107">
        <v>120467.71818181817</v>
      </c>
      <c r="D30" s="107">
        <v>12046.771818181816</v>
      </c>
      <c r="H30" s="55">
        <v>754165.50999999989</v>
      </c>
      <c r="I30" s="107">
        <v>685605.00909090892</v>
      </c>
      <c r="J30" s="107">
        <v>68560.500909090886</v>
      </c>
      <c r="O30" s="107"/>
      <c r="P30" s="107"/>
      <c r="Q30" s="55">
        <v>171376.5</v>
      </c>
      <c r="R30" s="107">
        <v>674691</v>
      </c>
      <c r="S30" s="107">
        <v>36542.5</v>
      </c>
      <c r="T30" s="55">
        <v>7550</v>
      </c>
      <c r="U30" s="107">
        <v>4610</v>
      </c>
      <c r="V30" s="107">
        <v>11080</v>
      </c>
      <c r="W30" s="55">
        <v>4070</v>
      </c>
    </row>
    <row r="31" spans="1:23" x14ac:dyDescent="0.3">
      <c r="B31" s="55"/>
      <c r="C31" s="107"/>
      <c r="D31" s="107"/>
      <c r="E31" s="55"/>
      <c r="F31" s="107"/>
      <c r="G31" s="107"/>
      <c r="H31" s="55"/>
      <c r="I31" s="107"/>
      <c r="J31" s="107"/>
      <c r="K31" s="55"/>
      <c r="L31" s="107"/>
      <c r="M31" s="107"/>
      <c r="N31" s="55"/>
      <c r="O31" s="107"/>
      <c r="P31" s="107"/>
      <c r="Q31" s="55"/>
      <c r="R31" s="55"/>
      <c r="S31" s="55"/>
      <c r="T31" s="55"/>
      <c r="U31" s="55"/>
      <c r="V31" s="108"/>
    </row>
    <row r="32" spans="1:23" x14ac:dyDescent="0.3">
      <c r="B32" s="57"/>
      <c r="C32" s="57"/>
      <c r="D32" s="57"/>
      <c r="E32" s="57"/>
      <c r="P32" s="57"/>
      <c r="Q32" s="57"/>
      <c r="R32" s="57"/>
      <c r="S32" s="57"/>
      <c r="T32" s="57"/>
      <c r="U32" s="57"/>
    </row>
    <row r="33" spans="1:23" x14ac:dyDescent="0.3">
      <c r="B33" s="102">
        <v>0.1</v>
      </c>
      <c r="C33" s="103">
        <v>0.2</v>
      </c>
      <c r="D33" s="43" t="s">
        <v>6</v>
      </c>
      <c r="E33" s="43" t="s">
        <v>57</v>
      </c>
      <c r="F33" s="43" t="s">
        <v>80</v>
      </c>
      <c r="G33" s="43" t="s">
        <v>81</v>
      </c>
      <c r="H33" s="57"/>
      <c r="U33" s="57">
        <f>U28+T28</f>
        <v>791367</v>
      </c>
    </row>
    <row r="34" spans="1:23" x14ac:dyDescent="0.3">
      <c r="B34" s="105">
        <v>1187077.06</v>
      </c>
      <c r="C34" s="57">
        <v>712998.44</v>
      </c>
      <c r="D34" s="57">
        <v>30112.5</v>
      </c>
      <c r="E34" s="57">
        <v>1869963</v>
      </c>
      <c r="F34" s="57">
        <v>17435</v>
      </c>
      <c r="G34" s="57">
        <v>698082</v>
      </c>
      <c r="H34" s="104"/>
      <c r="Q34" s="57"/>
      <c r="R34" s="57"/>
      <c r="U34" s="43">
        <v>805257</v>
      </c>
    </row>
    <row r="35" spans="1:23" x14ac:dyDescent="0.3">
      <c r="B35" s="105">
        <v>59580</v>
      </c>
      <c r="C35" s="57">
        <v>158972.5</v>
      </c>
      <c r="D35" s="57">
        <v>22537.5</v>
      </c>
      <c r="E35" s="57">
        <v>196015</v>
      </c>
      <c r="F35" s="57">
        <v>0</v>
      </c>
      <c r="G35" s="57">
        <v>75850</v>
      </c>
      <c r="H35" s="104"/>
      <c r="Q35" s="57"/>
      <c r="R35" s="57"/>
      <c r="U35" s="57">
        <f>U33-U34</f>
        <v>-13890</v>
      </c>
    </row>
    <row r="36" spans="1:23" x14ac:dyDescent="0.3">
      <c r="B36" s="106">
        <f t="shared" ref="B36:G36" si="35">SUM(B34:B35)</f>
        <v>1246657.06</v>
      </c>
      <c r="C36" s="55">
        <f t="shared" si="35"/>
        <v>871970.94</v>
      </c>
      <c r="D36" s="55">
        <f t="shared" si="35"/>
        <v>52650</v>
      </c>
      <c r="E36" s="55">
        <f t="shared" si="35"/>
        <v>2065978</v>
      </c>
      <c r="F36" s="55">
        <f t="shared" si="35"/>
        <v>17435</v>
      </c>
      <c r="G36" s="55">
        <f t="shared" si="35"/>
        <v>773932</v>
      </c>
      <c r="H36" s="104"/>
      <c r="Q36" s="57"/>
      <c r="R36" s="57"/>
      <c r="U36" s="57"/>
    </row>
    <row r="37" spans="1:23" x14ac:dyDescent="0.3">
      <c r="A37" s="105" t="s">
        <v>33</v>
      </c>
      <c r="B37" s="57">
        <f>B28+H28</f>
        <v>1246657.06</v>
      </c>
      <c r="C37" s="57">
        <f>E28+K28+N28</f>
        <v>871970.94</v>
      </c>
      <c r="D37" s="57">
        <f>Q28</f>
        <v>52650</v>
      </c>
      <c r="E37" s="57">
        <f>R28+S28</f>
        <v>2065978</v>
      </c>
      <c r="F37" s="57">
        <f>T28</f>
        <v>17435</v>
      </c>
      <c r="G37" s="57">
        <f>U28</f>
        <v>773932</v>
      </c>
      <c r="H37" s="104"/>
      <c r="Q37" s="57"/>
      <c r="R37" s="57"/>
      <c r="U37" s="57"/>
    </row>
    <row r="38" spans="1:23" x14ac:dyDescent="0.3">
      <c r="A38" s="105" t="s">
        <v>17</v>
      </c>
      <c r="B38" s="57">
        <f>B36-B37</f>
        <v>0</v>
      </c>
      <c r="C38" s="57">
        <f t="shared" ref="C38:G38" si="36">C36-C37</f>
        <v>0</v>
      </c>
      <c r="D38" s="57">
        <f t="shared" si="36"/>
        <v>0</v>
      </c>
      <c r="E38" s="57">
        <f t="shared" si="36"/>
        <v>0</v>
      </c>
      <c r="F38" s="57">
        <f t="shared" si="36"/>
        <v>0</v>
      </c>
      <c r="G38" s="57">
        <f t="shared" si="36"/>
        <v>0</v>
      </c>
      <c r="H38" s="104"/>
      <c r="Q38" s="57"/>
      <c r="R38" s="57"/>
      <c r="U38" s="57"/>
    </row>
    <row r="42" spans="1:23" ht="15" thickBot="1" x14ac:dyDescent="0.35">
      <c r="Q42" s="57"/>
      <c r="R42" s="57"/>
      <c r="T42" s="57"/>
      <c r="V42" s="43"/>
    </row>
    <row r="43" spans="1:23" x14ac:dyDescent="0.3">
      <c r="A43" s="76"/>
      <c r="B43" s="77"/>
      <c r="C43" s="77"/>
      <c r="D43" s="77"/>
      <c r="E43" s="78"/>
      <c r="G43" s="76"/>
      <c r="H43" s="77"/>
      <c r="I43" s="77"/>
      <c r="J43" s="77"/>
      <c r="K43" s="78"/>
      <c r="Q43" s="57"/>
      <c r="R43" s="57"/>
      <c r="V43" s="43"/>
    </row>
    <row r="44" spans="1:23" x14ac:dyDescent="0.3">
      <c r="A44" s="142" t="s">
        <v>63</v>
      </c>
      <c r="B44" s="143"/>
      <c r="C44" s="143"/>
      <c r="D44" s="143"/>
      <c r="E44" s="144"/>
      <c r="G44" s="142" t="s">
        <v>75</v>
      </c>
      <c r="H44" s="143"/>
      <c r="I44" s="143"/>
      <c r="J44" s="143"/>
      <c r="K44" s="144"/>
      <c r="V44" s="43"/>
    </row>
    <row r="45" spans="1:23" x14ac:dyDescent="0.3">
      <c r="A45" s="79"/>
      <c r="B45" s="80"/>
      <c r="C45" s="80"/>
      <c r="D45" s="80"/>
      <c r="E45" s="81"/>
      <c r="G45" s="79"/>
      <c r="H45" s="80"/>
      <c r="I45" s="80"/>
      <c r="J45" s="80"/>
      <c r="K45" s="81"/>
      <c r="V45" s="43"/>
    </row>
    <row r="46" spans="1:23" x14ac:dyDescent="0.3">
      <c r="A46" s="82" t="s">
        <v>33</v>
      </c>
      <c r="B46" s="83">
        <v>1</v>
      </c>
      <c r="C46" s="84">
        <v>2</v>
      </c>
      <c r="D46" s="84" t="s">
        <v>37</v>
      </c>
      <c r="E46" s="85" t="s">
        <v>56</v>
      </c>
      <c r="F46"/>
      <c r="G46" s="82"/>
      <c r="H46" s="83">
        <v>1</v>
      </c>
      <c r="I46" s="84"/>
      <c r="J46" s="84" t="s">
        <v>37</v>
      </c>
      <c r="K46" s="85" t="s">
        <v>56</v>
      </c>
      <c r="L46"/>
      <c r="M46"/>
      <c r="N46"/>
      <c r="O46" t="s">
        <v>58</v>
      </c>
      <c r="P46"/>
      <c r="Q46" t="s">
        <v>59</v>
      </c>
      <c r="R46" t="s">
        <v>60</v>
      </c>
      <c r="S46" t="s">
        <v>61</v>
      </c>
      <c r="T46" t="s">
        <v>62</v>
      </c>
      <c r="U46"/>
      <c r="V46" s="4"/>
      <c r="W46"/>
    </row>
    <row r="47" spans="1:23" x14ac:dyDescent="0.3">
      <c r="A47" s="86">
        <v>0.1</v>
      </c>
      <c r="B47" s="83">
        <v>59580</v>
      </c>
      <c r="C47" s="83">
        <v>1187077.06</v>
      </c>
      <c r="D47" s="83">
        <v>886680</v>
      </c>
      <c r="E47" s="85">
        <f>SUM(B47:D47)</f>
        <v>2133337.06</v>
      </c>
      <c r="F47" s="5"/>
      <c r="G47" s="86">
        <v>0.1</v>
      </c>
      <c r="H47" s="83">
        <f>B28+H28</f>
        <v>1246657.06</v>
      </c>
      <c r="I47" s="83"/>
      <c r="J47" s="83">
        <f>B30+H30</f>
        <v>886679.99999999988</v>
      </c>
      <c r="K47" s="85">
        <f>SUM(H47:J47)</f>
        <v>2133337.06</v>
      </c>
      <c r="L47" s="5"/>
      <c r="M47"/>
      <c r="N47" s="72">
        <v>0.1</v>
      </c>
      <c r="O47" s="5">
        <v>0</v>
      </c>
      <c r="P47"/>
      <c r="Q47" s="5">
        <f>3413883.78-1893.4</f>
        <v>3411990.38</v>
      </c>
      <c r="R47" s="5">
        <v>842859.1</v>
      </c>
      <c r="S47" s="5">
        <f>SUM(Q47:R47)</f>
        <v>4254849.4799999995</v>
      </c>
      <c r="T47" s="5">
        <f>S47*10/100</f>
        <v>425484.94799999997</v>
      </c>
      <c r="U47" s="5">
        <v>425484.92</v>
      </c>
      <c r="V47" s="100">
        <f>T47-U47</f>
        <v>2.7999999991152436E-2</v>
      </c>
      <c r="W47"/>
    </row>
    <row r="48" spans="1:23" x14ac:dyDescent="0.3">
      <c r="A48" s="86">
        <v>0.2</v>
      </c>
      <c r="B48" s="83">
        <v>158972.5</v>
      </c>
      <c r="C48" s="83">
        <v>712998.44</v>
      </c>
      <c r="D48" s="83"/>
      <c r="E48" s="85">
        <f>SUM(B48:D48)</f>
        <v>871970.94</v>
      </c>
      <c r="F48" s="5"/>
      <c r="G48" s="86">
        <v>0.2</v>
      </c>
      <c r="H48" s="83">
        <f>E28+K28+N28</f>
        <v>871970.94</v>
      </c>
      <c r="I48" s="83"/>
      <c r="J48" s="83"/>
      <c r="K48" s="85">
        <f>SUM(H48:J48)</f>
        <v>871970.94</v>
      </c>
      <c r="L48" s="5"/>
      <c r="M48"/>
      <c r="N48" s="72">
        <v>0.2</v>
      </c>
      <c r="O48" s="5">
        <f>D48</f>
        <v>0</v>
      </c>
      <c r="P48"/>
      <c r="Q48" s="5">
        <f>1115880.89-896.88</f>
        <v>1114984.01</v>
      </c>
      <c r="R48" s="5"/>
      <c r="S48" s="5">
        <f>SUM(Q48:R48)</f>
        <v>1114984.01</v>
      </c>
      <c r="T48" s="5">
        <f>S48*20/100</f>
        <v>222996.802</v>
      </c>
      <c r="U48" s="5">
        <v>222996.77</v>
      </c>
      <c r="V48" s="100">
        <f>T48-U48</f>
        <v>3.2000000006519258E-2</v>
      </c>
      <c r="W48"/>
    </row>
    <row r="49" spans="1:23" x14ac:dyDescent="0.3">
      <c r="A49" s="87" t="s">
        <v>56</v>
      </c>
      <c r="B49" s="88">
        <f>SUM(B47:B48)</f>
        <v>218552.5</v>
      </c>
      <c r="C49" s="88">
        <f>SUM(C47:C48)</f>
        <v>1900075.5</v>
      </c>
      <c r="D49" s="88">
        <f>SUM(D47:D48)</f>
        <v>886680</v>
      </c>
      <c r="E49" s="85">
        <f>SUM(E47:E48)</f>
        <v>3005308</v>
      </c>
      <c r="F49" s="6"/>
      <c r="G49" s="87" t="s">
        <v>56</v>
      </c>
      <c r="H49" s="88">
        <f>SUM(H47:H48)</f>
        <v>2118628</v>
      </c>
      <c r="I49" s="88"/>
      <c r="J49" s="88">
        <f>SUM(J47:J48)</f>
        <v>886679.99999999988</v>
      </c>
      <c r="K49" s="89">
        <f>SUM(K47:K48)</f>
        <v>3005308</v>
      </c>
      <c r="L49" s="5"/>
      <c r="M49"/>
      <c r="N49"/>
      <c r="O49"/>
      <c r="P49"/>
      <c r="Q49" s="5"/>
      <c r="R49" s="5"/>
      <c r="S49" s="5">
        <f>SUM(S47:S48)</f>
        <v>5369833.4899999993</v>
      </c>
      <c r="T49" s="5">
        <f>SUM(T47:T48)</f>
        <v>648481.75</v>
      </c>
      <c r="U49" s="5">
        <f>S49+T49</f>
        <v>6018315.2399999993</v>
      </c>
      <c r="V49" s="73" t="s">
        <v>64</v>
      </c>
      <c r="W49"/>
    </row>
    <row r="50" spans="1:23" x14ac:dyDescent="0.3">
      <c r="A50" s="82" t="s">
        <v>65</v>
      </c>
      <c r="B50" s="83">
        <v>22537.5</v>
      </c>
      <c r="C50" s="83">
        <v>47547.5</v>
      </c>
      <c r="D50" s="83">
        <v>171376.5</v>
      </c>
      <c r="E50" s="85">
        <f>SUM(B50:D50)</f>
        <v>241461.5</v>
      </c>
      <c r="F50" s="5"/>
      <c r="G50" s="82" t="s">
        <v>65</v>
      </c>
      <c r="H50" s="83">
        <f>Q28+T28</f>
        <v>70085</v>
      </c>
      <c r="I50" s="83"/>
      <c r="J50" s="83">
        <f>Q30</f>
        <v>171376.5</v>
      </c>
      <c r="K50" s="85">
        <f>SUM(H50:J50)</f>
        <v>241461.5</v>
      </c>
      <c r="L50" s="5"/>
      <c r="M50"/>
      <c r="N50"/>
      <c r="O50" s="74" t="s">
        <v>66</v>
      </c>
      <c r="P50" s="74"/>
      <c r="Q50" s="6"/>
      <c r="R50" s="6"/>
      <c r="S50"/>
      <c r="T50"/>
      <c r="U50" s="5">
        <f>E49</f>
        <v>3005308</v>
      </c>
      <c r="V50" s="73" t="s">
        <v>67</v>
      </c>
      <c r="W50"/>
    </row>
    <row r="51" spans="1:23" x14ac:dyDescent="0.3">
      <c r="A51" s="82" t="s">
        <v>57</v>
      </c>
      <c r="B51" s="83">
        <v>271865</v>
      </c>
      <c r="C51" s="83">
        <v>2568045</v>
      </c>
      <c r="D51" s="83">
        <v>711233.5</v>
      </c>
      <c r="E51" s="85">
        <f>SUM(B51:D51)</f>
        <v>3551143.5</v>
      </c>
      <c r="F51" s="5"/>
      <c r="G51" s="82" t="s">
        <v>57</v>
      </c>
      <c r="H51" s="83">
        <f>R28+S28+U28</f>
        <v>2839910</v>
      </c>
      <c r="I51" s="83"/>
      <c r="J51" s="83">
        <f>R30+S30</f>
        <v>711233.5</v>
      </c>
      <c r="K51" s="85">
        <f>SUM(H51:J51)</f>
        <v>3551143.5</v>
      </c>
      <c r="L51" s="5"/>
      <c r="M51"/>
      <c r="N51"/>
      <c r="O51"/>
      <c r="P51"/>
      <c r="Q51" s="5"/>
      <c r="R51" s="5"/>
      <c r="S51"/>
      <c r="T51"/>
      <c r="U51" s="5">
        <v>805257</v>
      </c>
      <c r="V51" s="73" t="s">
        <v>68</v>
      </c>
      <c r="W51"/>
    </row>
    <row r="52" spans="1:23" x14ac:dyDescent="0.3">
      <c r="A52" s="87" t="s">
        <v>56</v>
      </c>
      <c r="B52" s="88">
        <f>SUM(B50:B51)</f>
        <v>294402.5</v>
      </c>
      <c r="C52" s="88">
        <f>SUM(C50:C51)</f>
        <v>2615592.5</v>
      </c>
      <c r="D52" s="88">
        <f>SUM(D50:D51)</f>
        <v>882610</v>
      </c>
      <c r="E52" s="89">
        <f>SUM(B52:D52)</f>
        <v>3792605</v>
      </c>
      <c r="F52" s="6"/>
      <c r="G52" s="87" t="s">
        <v>56</v>
      </c>
      <c r="H52" s="88">
        <f>SUM(H50:H51)</f>
        <v>2909995</v>
      </c>
      <c r="I52" s="88"/>
      <c r="J52" s="88">
        <f>SUM(J50:J51)</f>
        <v>882610</v>
      </c>
      <c r="K52" s="89">
        <f>SUM(H52:J52)</f>
        <v>3792605</v>
      </c>
      <c r="L52" s="5"/>
      <c r="M52"/>
      <c r="N52"/>
      <c r="O52"/>
      <c r="P52"/>
      <c r="Q52" s="5"/>
      <c r="R52" s="5"/>
      <c r="S52"/>
      <c r="T52"/>
      <c r="U52" s="6">
        <v>0</v>
      </c>
      <c r="V52" s="75" t="s">
        <v>69</v>
      </c>
      <c r="W52"/>
    </row>
    <row r="53" spans="1:23" x14ac:dyDescent="0.3">
      <c r="A53" s="90" t="s">
        <v>70</v>
      </c>
      <c r="B53" s="91">
        <f>B52-B49</f>
        <v>75850</v>
      </c>
      <c r="C53" s="91">
        <f t="shared" ref="C53:D53" si="37">C52-C49</f>
        <v>715517</v>
      </c>
      <c r="D53" s="91">
        <f t="shared" si="37"/>
        <v>-4070</v>
      </c>
      <c r="E53" s="92"/>
      <c r="F53"/>
      <c r="G53" s="90" t="s">
        <v>70</v>
      </c>
      <c r="H53" s="91">
        <f>H52-H49</f>
        <v>791367</v>
      </c>
      <c r="I53" s="91"/>
      <c r="J53" s="91">
        <f t="shared" ref="J53" si="38">J52-J49</f>
        <v>-4069.9999999998836</v>
      </c>
      <c r="K53" s="92"/>
      <c r="L53" s="5"/>
      <c r="M53"/>
      <c r="N53"/>
      <c r="O53"/>
      <c r="P53"/>
      <c r="Q53"/>
      <c r="R53"/>
      <c r="S53"/>
      <c r="T53" s="74" t="s">
        <v>61</v>
      </c>
      <c r="U53" s="6">
        <f>SUM(U50:U52)</f>
        <v>3810565</v>
      </c>
      <c r="V53" s="4"/>
      <c r="W53"/>
    </row>
    <row r="54" spans="1:23" x14ac:dyDescent="0.3">
      <c r="A54" s="93" t="s">
        <v>71</v>
      </c>
      <c r="B54" s="94">
        <v>75850</v>
      </c>
      <c r="C54" s="94">
        <v>715517</v>
      </c>
      <c r="D54" s="94">
        <v>4070</v>
      </c>
      <c r="E54" s="92"/>
      <c r="F54" s="6"/>
      <c r="G54" s="93" t="s">
        <v>71</v>
      </c>
      <c r="H54" s="94">
        <f>T28+U28</f>
        <v>791367</v>
      </c>
      <c r="I54" s="94"/>
      <c r="J54" s="94">
        <f>W30</f>
        <v>4070</v>
      </c>
      <c r="K54" s="92"/>
      <c r="L54"/>
      <c r="M54"/>
      <c r="N54"/>
      <c r="O54"/>
      <c r="P54"/>
      <c r="Q54"/>
      <c r="R54"/>
      <c r="S54"/>
      <c r="T54"/>
      <c r="U54" s="6">
        <f>U49-U53</f>
        <v>2207750.2399999993</v>
      </c>
      <c r="V54" s="75" t="s">
        <v>72</v>
      </c>
      <c r="W54"/>
    </row>
    <row r="55" spans="1:23" x14ac:dyDescent="0.3">
      <c r="A55" s="82"/>
      <c r="B55" s="83">
        <f>B53-B54</f>
        <v>0</v>
      </c>
      <c r="C55" s="83">
        <f>C53-C54</f>
        <v>0</v>
      </c>
      <c r="D55" s="84">
        <v>23240</v>
      </c>
      <c r="E55" s="95" t="s">
        <v>74</v>
      </c>
      <c r="F55"/>
      <c r="G55" s="82"/>
      <c r="H55" s="83">
        <f>H53-H54</f>
        <v>0</v>
      </c>
      <c r="I55" s="83"/>
      <c r="J55" s="84">
        <v>23240</v>
      </c>
      <c r="K55" s="95" t="s">
        <v>74</v>
      </c>
      <c r="L55"/>
      <c r="M55"/>
      <c r="N55"/>
      <c r="O55"/>
      <c r="P55"/>
      <c r="Q55"/>
      <c r="R55"/>
      <c r="S55"/>
      <c r="T55"/>
      <c r="U55" s="5">
        <v>2410638.08</v>
      </c>
      <c r="V55" s="75" t="s">
        <v>73</v>
      </c>
      <c r="W55"/>
    </row>
    <row r="56" spans="1:23" x14ac:dyDescent="0.3">
      <c r="A56" s="82"/>
      <c r="B56" s="83"/>
      <c r="C56" s="83"/>
      <c r="D56" s="84"/>
      <c r="E56" s="95"/>
      <c r="F56"/>
      <c r="G56" s="82"/>
      <c r="H56" s="83"/>
      <c r="I56" s="83"/>
      <c r="J56" s="84"/>
      <c r="K56" s="95"/>
      <c r="L56"/>
      <c r="M56"/>
      <c r="N56"/>
      <c r="O56"/>
      <c r="P56"/>
      <c r="Q56"/>
      <c r="R56"/>
      <c r="S56"/>
      <c r="T56"/>
      <c r="U56" s="5">
        <f>8000+11000+8000+8000+8000+38000+11000+8000+2210+4000+3315+7895+4000+3000+8000+4000+4000+4000+5000+6000+4000+4000+8000+8000+2210+4000+4000+6000+6000+4000+2210+9510+3000+4000+9500+9500</f>
        <v>243350</v>
      </c>
      <c r="V56" s="75" t="s">
        <v>77</v>
      </c>
      <c r="W56"/>
    </row>
    <row r="57" spans="1:23" x14ac:dyDescent="0.3">
      <c r="A57" s="82"/>
      <c r="B57" s="83"/>
      <c r="C57" s="83"/>
      <c r="D57" s="84"/>
      <c r="E57" s="95"/>
      <c r="F57"/>
      <c r="G57" s="82"/>
      <c r="H57" s="83"/>
      <c r="I57" s="83"/>
      <c r="J57" s="84"/>
      <c r="K57" s="95"/>
      <c r="L57"/>
      <c r="M57"/>
      <c r="N57"/>
      <c r="O57"/>
      <c r="P57"/>
      <c r="Q57"/>
      <c r="R57"/>
      <c r="S57"/>
      <c r="T57"/>
      <c r="U57" s="6">
        <f>U55-U56</f>
        <v>2167288.08</v>
      </c>
      <c r="V57" s="75" t="s">
        <v>78</v>
      </c>
      <c r="W57"/>
    </row>
    <row r="58" spans="1:23" ht="15" thickBot="1" x14ac:dyDescent="0.35">
      <c r="A58" s="96"/>
      <c r="B58" s="97"/>
      <c r="C58" s="97"/>
      <c r="D58" s="97"/>
      <c r="E58" s="98"/>
      <c r="F58"/>
      <c r="G58" s="96"/>
      <c r="H58" s="97"/>
      <c r="I58" s="97"/>
      <c r="J58" s="97"/>
      <c r="K58" s="98"/>
      <c r="L58"/>
      <c r="M58"/>
      <c r="N58"/>
      <c r="O58"/>
      <c r="P58"/>
      <c r="Q58"/>
      <c r="R58"/>
      <c r="S58"/>
      <c r="T58" s="74" t="s">
        <v>72</v>
      </c>
      <c r="U58" s="5">
        <f>U54-U57</f>
        <v>40462.159999999218</v>
      </c>
      <c r="V58" s="4"/>
      <c r="W58"/>
    </row>
    <row r="59" spans="1:23" x14ac:dyDescent="0.3">
      <c r="A59" s="111"/>
      <c r="B59" s="84"/>
      <c r="C59" s="84"/>
      <c r="D59" s="84"/>
      <c r="E59" s="84"/>
      <c r="F59">
        <v>0</v>
      </c>
      <c r="G59" s="111"/>
      <c r="H59" s="84"/>
      <c r="I59" s="84"/>
      <c r="J59" s="84"/>
      <c r="K59" s="84"/>
      <c r="L59"/>
      <c r="M59"/>
      <c r="N59"/>
      <c r="O59"/>
      <c r="P59"/>
      <c r="Q59"/>
      <c r="R59"/>
      <c r="S59"/>
      <c r="T59" s="74"/>
      <c r="U59" s="5">
        <v>40465</v>
      </c>
      <c r="V59" s="4" t="s">
        <v>82</v>
      </c>
      <c r="W59"/>
    </row>
    <row r="60" spans="1:23" x14ac:dyDescent="0.3">
      <c r="A60" s="111"/>
      <c r="B60" s="84"/>
      <c r="C60" s="84"/>
      <c r="D60" s="84"/>
      <c r="E60" s="84"/>
      <c r="F60"/>
      <c r="G60" s="111"/>
      <c r="H60" s="84"/>
      <c r="I60" s="84"/>
      <c r="J60" s="84"/>
      <c r="K60" s="84"/>
      <c r="L60"/>
      <c r="M60"/>
      <c r="N60"/>
      <c r="O60"/>
      <c r="P60"/>
      <c r="Q60"/>
      <c r="R60"/>
      <c r="S60"/>
      <c r="T60" s="74"/>
      <c r="U60" s="5">
        <f>U58-U59</f>
        <v>-2.840000000782311</v>
      </c>
      <c r="V60" s="4"/>
      <c r="W60"/>
    </row>
    <row r="61" spans="1:23" x14ac:dyDescent="0.3">
      <c r="A61" s="4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 s="5"/>
      <c r="V61" s="75"/>
      <c r="W61"/>
    </row>
    <row r="62" spans="1:23" x14ac:dyDescent="0.3">
      <c r="A62" s="4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 s="5"/>
      <c r="V62" s="75"/>
      <c r="W62"/>
    </row>
    <row r="63" spans="1:23" x14ac:dyDescent="0.3">
      <c r="A63" s="4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 s="6"/>
      <c r="V63" s="4"/>
      <c r="W63"/>
    </row>
    <row r="64" spans="1:23" x14ac:dyDescent="0.3">
      <c r="A64" s="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 s="5"/>
      <c r="V64" s="75"/>
      <c r="W64"/>
    </row>
  </sheetData>
  <mergeCells count="3">
    <mergeCell ref="T1:U1"/>
    <mergeCell ref="A44:E44"/>
    <mergeCell ref="G44:K4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9" workbookViewId="0">
      <selection activeCell="A30" sqref="A30:XFD30"/>
    </sheetView>
  </sheetViews>
  <sheetFormatPr defaultColWidth="8.88671875" defaultRowHeight="14.4" x14ac:dyDescent="0.3"/>
  <cols>
    <col min="1" max="1" width="12.109375" style="54" bestFit="1" customWidth="1"/>
    <col min="2" max="2" width="12.33203125" style="43" bestFit="1" customWidth="1"/>
    <col min="3" max="3" width="13.6640625" style="43" bestFit="1" customWidth="1"/>
    <col min="4" max="4" width="11" style="43" bestFit="1" customWidth="1"/>
    <col min="5" max="5" width="15.109375" style="43" bestFit="1" customWidth="1"/>
    <col min="6" max="6" width="10" style="43" bestFit="1" customWidth="1"/>
    <col min="7" max="7" width="12.109375" style="43" bestFit="1" customWidth="1"/>
    <col min="8" max="8" width="12.33203125" style="43" bestFit="1" customWidth="1"/>
    <col min="9" max="9" width="10" style="43" bestFit="1" customWidth="1"/>
    <col min="10" max="10" width="11" style="43" bestFit="1" customWidth="1"/>
    <col min="11" max="11" width="11.88671875" style="43" bestFit="1" customWidth="1"/>
    <col min="12" max="12" width="10" style="43" bestFit="1" customWidth="1"/>
    <col min="13" max="13" width="9" style="43" bestFit="1" customWidth="1"/>
    <col min="14" max="14" width="10.109375" style="43" bestFit="1" customWidth="1"/>
    <col min="15" max="15" width="10.33203125" style="43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0" style="43" bestFit="1" customWidth="1"/>
    <col min="21" max="21" width="12.33203125" style="43" bestFit="1" customWidth="1"/>
    <col min="22" max="22" width="16.6640625" style="54" bestFit="1" customWidth="1"/>
    <col min="23" max="16384" width="8.88671875" style="43"/>
  </cols>
  <sheetData>
    <row r="1" spans="1:22" x14ac:dyDescent="0.3">
      <c r="A1" s="109" t="s">
        <v>0</v>
      </c>
      <c r="B1" s="41" t="s">
        <v>1</v>
      </c>
      <c r="C1" s="41"/>
      <c r="D1" s="41"/>
      <c r="E1" s="41" t="s">
        <v>2</v>
      </c>
      <c r="F1" s="41"/>
      <c r="G1" s="41"/>
      <c r="H1" s="109" t="s">
        <v>3</v>
      </c>
      <c r="I1" s="41"/>
      <c r="J1" s="41"/>
      <c r="K1" s="109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40" t="s">
        <v>8</v>
      </c>
      <c r="U1" s="141"/>
      <c r="V1" s="109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09"/>
      <c r="R2" s="109"/>
      <c r="S2" s="109"/>
      <c r="T2" s="109" t="s">
        <v>6</v>
      </c>
      <c r="U2" s="110" t="s">
        <v>9</v>
      </c>
      <c r="V2" s="44"/>
    </row>
    <row r="3" spans="1:22" x14ac:dyDescent="0.3">
      <c r="A3" s="47">
        <v>45931</v>
      </c>
      <c r="B3" s="11">
        <f>450+48920+3875</f>
        <v>53245</v>
      </c>
      <c r="C3" s="48">
        <f>B3/1.1</f>
        <v>48404.545454545449</v>
      </c>
      <c r="D3" s="48">
        <f>C3*0.1</f>
        <v>4840.454545454545</v>
      </c>
      <c r="E3" s="11">
        <f>4700+5715+4000</f>
        <v>14415</v>
      </c>
      <c r="F3" s="48">
        <f>E3/1.2</f>
        <v>12012.5</v>
      </c>
      <c r="G3" s="48">
        <f>F3*0.2</f>
        <v>2402.5</v>
      </c>
      <c r="H3" s="11">
        <f>3390+180</f>
        <v>3570</v>
      </c>
      <c r="I3" s="48">
        <f>H3/1.1</f>
        <v>3245.454545454545</v>
      </c>
      <c r="J3" s="48">
        <f>I3*0.1</f>
        <v>324.5454545454545</v>
      </c>
      <c r="K3" s="11">
        <f>800+6600+800</f>
        <v>8200</v>
      </c>
      <c r="L3" s="48">
        <f>K3/1.2</f>
        <v>6833.3333333333339</v>
      </c>
      <c r="M3" s="48">
        <f>L3*0.2</f>
        <v>1366.666666666667</v>
      </c>
      <c r="N3" s="11">
        <f>595+5853.5+805.5</f>
        <v>7254</v>
      </c>
      <c r="O3" s="48">
        <f>N3/1.2</f>
        <v>6045</v>
      </c>
      <c r="P3" s="48">
        <f>O3*0.2</f>
        <v>1209</v>
      </c>
      <c r="Q3" s="11">
        <v>5540</v>
      </c>
      <c r="R3" s="11">
        <f>6545+64938.5+9660.5-2050-4277.5</f>
        <v>74816.5</v>
      </c>
      <c r="S3" s="11">
        <f>2050+4277.5</f>
        <v>6327.5</v>
      </c>
      <c r="T3" s="48"/>
      <c r="U3" s="49">
        <f>26343.5+37500</f>
        <v>63843.5</v>
      </c>
      <c r="V3" s="44"/>
    </row>
    <row r="4" spans="1:22" x14ac:dyDescent="0.3">
      <c r="A4" s="47">
        <v>45932</v>
      </c>
      <c r="B4" s="11">
        <f>50650</f>
        <v>50650</v>
      </c>
      <c r="C4" s="48">
        <f t="shared" ref="C4:C24" si="0">B4/1.1</f>
        <v>46045.454545454544</v>
      </c>
      <c r="D4" s="48">
        <f t="shared" ref="D4:D24" si="1">C4*0.1</f>
        <v>4604.545454545455</v>
      </c>
      <c r="E4" s="11">
        <v>16625</v>
      </c>
      <c r="F4" s="48">
        <f t="shared" ref="F4:F30" si="2">E4/1.2</f>
        <v>13854.166666666668</v>
      </c>
      <c r="G4" s="48">
        <f t="shared" ref="G4:G24" si="3">F4*0.2</f>
        <v>2770.8333333333339</v>
      </c>
      <c r="H4" s="11">
        <v>1120</v>
      </c>
      <c r="I4" s="48">
        <f t="shared" ref="I4:I30" si="4">H4/1.1</f>
        <v>1018.1818181818181</v>
      </c>
      <c r="J4" s="48">
        <f t="shared" ref="J4:J24" si="5">I4*0.1</f>
        <v>101.81818181818181</v>
      </c>
      <c r="K4" s="11">
        <v>6000</v>
      </c>
      <c r="L4" s="48">
        <f t="shared" ref="L4:L30" si="6">K4/1.2</f>
        <v>5000</v>
      </c>
      <c r="M4" s="48">
        <f t="shared" ref="M4:M24" si="7">L4*0.2</f>
        <v>1000</v>
      </c>
      <c r="N4" s="11">
        <v>6939.5</v>
      </c>
      <c r="O4" s="48">
        <f t="shared" ref="O4:O30" si="8">N4/1.2</f>
        <v>5782.916666666667</v>
      </c>
      <c r="P4" s="48">
        <f t="shared" ref="P4:P24" si="9">O4*0.2</f>
        <v>1156.5833333333335</v>
      </c>
      <c r="Q4" s="48"/>
      <c r="R4" s="11">
        <f>81334.5</f>
        <v>81334.5</v>
      </c>
      <c r="S4" s="48">
        <v>0</v>
      </c>
      <c r="U4" s="48">
        <f>16382.5+12000+8000</f>
        <v>36382.5</v>
      </c>
      <c r="V4" s="50"/>
    </row>
    <row r="5" spans="1:22" x14ac:dyDescent="0.3">
      <c r="A5" s="47">
        <v>45933</v>
      </c>
      <c r="B5" s="11">
        <f>24025+26475</f>
        <v>50500</v>
      </c>
      <c r="C5" s="48">
        <f t="shared" si="0"/>
        <v>45909.090909090904</v>
      </c>
      <c r="D5" s="48">
        <f t="shared" si="1"/>
        <v>4590.909090909091</v>
      </c>
      <c r="E5" s="11">
        <f>6580+9335+595+2100</f>
        <v>18610</v>
      </c>
      <c r="F5" s="48">
        <f t="shared" si="2"/>
        <v>15508.333333333334</v>
      </c>
      <c r="G5" s="48">
        <f t="shared" si="3"/>
        <v>3101.666666666667</v>
      </c>
      <c r="H5" s="11">
        <f>540+490+575</f>
        <v>1605</v>
      </c>
      <c r="I5" s="48">
        <f t="shared" si="4"/>
        <v>1459.090909090909</v>
      </c>
      <c r="J5" s="48">
        <f t="shared" si="5"/>
        <v>145.90909090909091</v>
      </c>
      <c r="K5" s="11">
        <f>2200+3550</f>
        <v>5750</v>
      </c>
      <c r="L5" s="48">
        <f t="shared" si="6"/>
        <v>4791.666666666667</v>
      </c>
      <c r="M5" s="48">
        <f t="shared" si="7"/>
        <v>958.33333333333348</v>
      </c>
      <c r="N5" s="11">
        <f>3114.5+3711+267.5</f>
        <v>7093</v>
      </c>
      <c r="O5" s="48">
        <f t="shared" si="8"/>
        <v>5910.8333333333339</v>
      </c>
      <c r="P5" s="48">
        <f t="shared" si="9"/>
        <v>1182.1666666666667</v>
      </c>
      <c r="Q5" s="11">
        <f>8240</f>
        <v>8240</v>
      </c>
      <c r="R5" s="11">
        <f>36459.5+35321+595+2942.5</f>
        <v>75318</v>
      </c>
      <c r="S5" s="48">
        <v>0</v>
      </c>
      <c r="T5" s="48">
        <v>0</v>
      </c>
      <c r="U5" s="49">
        <f>36781+10267+14143</f>
        <v>61191</v>
      </c>
      <c r="V5" s="44"/>
    </row>
    <row r="6" spans="1:22" x14ac:dyDescent="0.3">
      <c r="A6" s="47">
        <v>45934</v>
      </c>
      <c r="B6" s="11">
        <f>41665+2875+4550</f>
        <v>49090</v>
      </c>
      <c r="C6" s="48">
        <f t="shared" si="0"/>
        <v>44627.272727272721</v>
      </c>
      <c r="D6" s="48">
        <f t="shared" si="1"/>
        <v>4462.7272727272721</v>
      </c>
      <c r="E6" s="11">
        <f>14320+9175+6075+1825+5400</f>
        <v>36795</v>
      </c>
      <c r="F6" s="48">
        <f t="shared" si="2"/>
        <v>30662.5</v>
      </c>
      <c r="G6" s="48">
        <f t="shared" si="3"/>
        <v>6132.5</v>
      </c>
      <c r="H6" s="11">
        <f>1600+85+2085</f>
        <v>3770</v>
      </c>
      <c r="I6" s="48">
        <f t="shared" si="4"/>
        <v>3427.272727272727</v>
      </c>
      <c r="J6" s="48">
        <f t="shared" si="5"/>
        <v>342.72727272727275</v>
      </c>
      <c r="K6" s="11">
        <f>6200+1800+2200+400+1200</f>
        <v>11800</v>
      </c>
      <c r="L6" s="48">
        <f t="shared" si="6"/>
        <v>9833.3333333333339</v>
      </c>
      <c r="M6" s="48">
        <f t="shared" si="7"/>
        <v>1966.666666666667</v>
      </c>
      <c r="N6" s="11">
        <f>5198.5+1106+1283.5+637.5+660</f>
        <v>8885.5</v>
      </c>
      <c r="O6" s="48">
        <f t="shared" si="8"/>
        <v>7404.5833333333339</v>
      </c>
      <c r="P6" s="48">
        <f t="shared" si="9"/>
        <v>1480.916666666667</v>
      </c>
      <c r="Q6" s="11">
        <f>7400+2535+1000</f>
        <v>10935</v>
      </c>
      <c r="R6" s="11">
        <f>61583.5-7698.5+9631+13518.5+7412.5+7260-3740</f>
        <v>87967</v>
      </c>
      <c r="S6" s="11">
        <f>7698.5+3740</f>
        <v>11438.5</v>
      </c>
      <c r="T6" s="48">
        <f>2100+2305</f>
        <v>4405</v>
      </c>
      <c r="U6" s="49">
        <f>31560.5+57841.5+35078.5</f>
        <v>124480.5</v>
      </c>
      <c r="V6" s="44"/>
    </row>
    <row r="7" spans="1:22" x14ac:dyDescent="0.3">
      <c r="A7" s="47">
        <v>45935</v>
      </c>
      <c r="B7" s="11">
        <f>5025+35525</f>
        <v>40550</v>
      </c>
      <c r="C7" s="48">
        <f t="shared" si="0"/>
        <v>36863.63636363636</v>
      </c>
      <c r="D7" s="48">
        <f t="shared" si="1"/>
        <v>3686.363636363636</v>
      </c>
      <c r="E7" s="11">
        <f>1170+17175</f>
        <v>18345</v>
      </c>
      <c r="F7" s="48">
        <f t="shared" si="2"/>
        <v>15287.5</v>
      </c>
      <c r="G7" s="48">
        <f t="shared" si="3"/>
        <v>3057.5</v>
      </c>
      <c r="H7" s="11">
        <f>135+2320</f>
        <v>2455</v>
      </c>
      <c r="I7" s="48">
        <f t="shared" si="4"/>
        <v>2231.8181818181815</v>
      </c>
      <c r="J7" s="48">
        <f t="shared" si="5"/>
        <v>223.18181818181816</v>
      </c>
      <c r="K7" s="11">
        <f>800+3800</f>
        <v>4600</v>
      </c>
      <c r="L7" s="48">
        <f t="shared" si="6"/>
        <v>3833.3333333333335</v>
      </c>
      <c r="M7" s="48">
        <f t="shared" si="7"/>
        <v>766.66666666666674</v>
      </c>
      <c r="N7" s="11">
        <f>438.5+5122</f>
        <v>5560.5</v>
      </c>
      <c r="O7" s="48">
        <f t="shared" si="8"/>
        <v>4633.75</v>
      </c>
      <c r="P7" s="48">
        <f t="shared" si="9"/>
        <v>926.75</v>
      </c>
      <c r="Q7" s="11">
        <f>2345+3800</f>
        <v>6145</v>
      </c>
      <c r="R7" s="11">
        <f>5223.5+60142</f>
        <v>65365.5</v>
      </c>
      <c r="S7" s="48">
        <v>0</v>
      </c>
      <c r="T7" s="48">
        <v>0</v>
      </c>
      <c r="U7" s="49">
        <f>35020+45662.5</f>
        <v>80682.5</v>
      </c>
      <c r="V7" s="44"/>
    </row>
    <row r="8" spans="1:22" x14ac:dyDescent="0.3">
      <c r="A8" s="47">
        <v>45937</v>
      </c>
      <c r="B8" s="11">
        <f>30850+550</f>
        <v>31400</v>
      </c>
      <c r="C8" s="48">
        <f t="shared" si="0"/>
        <v>28545.454545454544</v>
      </c>
      <c r="D8" s="48">
        <f t="shared" si="1"/>
        <v>2854.5454545454545</v>
      </c>
      <c r="E8" s="11">
        <f>5360+6300</f>
        <v>11660</v>
      </c>
      <c r="F8" s="48">
        <f t="shared" si="2"/>
        <v>9716.6666666666679</v>
      </c>
      <c r="G8" s="48">
        <f t="shared" si="3"/>
        <v>1943.3333333333337</v>
      </c>
      <c r="H8" s="11">
        <f>1700</f>
        <v>1700</v>
      </c>
      <c r="I8" s="48">
        <f t="shared" si="4"/>
        <v>1545.4545454545453</v>
      </c>
      <c r="J8" s="48">
        <f t="shared" si="5"/>
        <v>154.54545454545453</v>
      </c>
      <c r="K8" s="11">
        <f>3200+400</f>
        <v>3600</v>
      </c>
      <c r="L8" s="48">
        <f t="shared" si="6"/>
        <v>3000</v>
      </c>
      <c r="M8" s="48">
        <f t="shared" si="7"/>
        <v>600</v>
      </c>
      <c r="N8" s="11">
        <f>3791+515</f>
        <v>4306</v>
      </c>
      <c r="O8" s="48">
        <f t="shared" si="8"/>
        <v>3588.3333333333335</v>
      </c>
      <c r="P8" s="48">
        <f t="shared" si="9"/>
        <v>717.66666666666674</v>
      </c>
      <c r="Q8" s="11">
        <f>100</f>
        <v>100</v>
      </c>
      <c r="R8" s="11">
        <f>44901+7665</f>
        <v>52566</v>
      </c>
      <c r="S8" s="48">
        <v>0</v>
      </c>
      <c r="T8" s="48"/>
      <c r="U8" s="49">
        <f>44076.5+16183.5+13145</f>
        <v>73405</v>
      </c>
      <c r="V8" s="44"/>
    </row>
    <row r="9" spans="1:22" x14ac:dyDescent="0.3">
      <c r="A9" s="47">
        <v>45938</v>
      </c>
      <c r="B9" s="11">
        <f>6725+2350+27650</f>
        <v>36725</v>
      </c>
      <c r="C9" s="48">
        <f t="shared" si="0"/>
        <v>33386.363636363632</v>
      </c>
      <c r="D9" s="48">
        <f t="shared" si="1"/>
        <v>3338.6363636363635</v>
      </c>
      <c r="E9" s="11">
        <f>5540+2675+4310</f>
        <v>12525</v>
      </c>
      <c r="F9" s="48">
        <f t="shared" si="2"/>
        <v>10437.5</v>
      </c>
      <c r="G9" s="48">
        <f t="shared" si="3"/>
        <v>2087.5</v>
      </c>
      <c r="H9" s="11">
        <f>95+1295</f>
        <v>1390</v>
      </c>
      <c r="I9" s="48">
        <f t="shared" si="4"/>
        <v>1263.6363636363635</v>
      </c>
      <c r="J9" s="48">
        <f t="shared" si="5"/>
        <v>126.36363636363636</v>
      </c>
      <c r="K9" s="11">
        <f>800+400+2800</f>
        <v>4000</v>
      </c>
      <c r="L9" s="48">
        <f t="shared" si="6"/>
        <v>3333.3333333333335</v>
      </c>
      <c r="M9" s="48">
        <f t="shared" si="7"/>
        <v>666.66666666666674</v>
      </c>
      <c r="N9" s="11">
        <f>1236+502.5+2971</f>
        <v>4709.5</v>
      </c>
      <c r="O9" s="48">
        <f t="shared" si="8"/>
        <v>3924.5833333333335</v>
      </c>
      <c r="P9" s="48">
        <f t="shared" si="9"/>
        <v>784.91666666666674</v>
      </c>
      <c r="Q9" s="11">
        <f>3945</f>
        <v>3945</v>
      </c>
      <c r="R9" s="11">
        <f>14396+5927.5+35081-10000</f>
        <v>45404.5</v>
      </c>
      <c r="S9" s="11">
        <v>10000</v>
      </c>
      <c r="T9" s="48">
        <v>0</v>
      </c>
      <c r="U9" s="49">
        <f>11966.5+73152.5</f>
        <v>85119</v>
      </c>
      <c r="V9" s="44"/>
    </row>
    <row r="10" spans="1:22" x14ac:dyDescent="0.3">
      <c r="A10" s="47">
        <v>45939</v>
      </c>
      <c r="B10" s="11">
        <f>32450+6275</f>
        <v>38725</v>
      </c>
      <c r="C10" s="48">
        <f t="shared" si="0"/>
        <v>35204.545454545449</v>
      </c>
      <c r="D10" s="48">
        <f t="shared" si="1"/>
        <v>3520.454545454545</v>
      </c>
      <c r="E10" s="11">
        <f>7420</f>
        <v>7420</v>
      </c>
      <c r="F10" s="48">
        <f t="shared" si="2"/>
        <v>6183.3333333333339</v>
      </c>
      <c r="G10" s="48">
        <f t="shared" si="3"/>
        <v>1236.666666666667</v>
      </c>
      <c r="H10" s="11">
        <f>1725+230</f>
        <v>1955</v>
      </c>
      <c r="I10" s="48">
        <f t="shared" si="4"/>
        <v>1777.272727272727</v>
      </c>
      <c r="J10" s="48">
        <f t="shared" si="5"/>
        <v>177.72727272727272</v>
      </c>
      <c r="K10" s="11">
        <f>3200+800</f>
        <v>4000</v>
      </c>
      <c r="L10" s="48">
        <f t="shared" si="6"/>
        <v>3333.3333333333335</v>
      </c>
      <c r="M10" s="48">
        <f t="shared" si="7"/>
        <v>666.66666666666674</v>
      </c>
      <c r="N10" s="11">
        <f>4159.5+650.5</f>
        <v>4810</v>
      </c>
      <c r="O10" s="48">
        <f t="shared" si="8"/>
        <v>4008.3333333333335</v>
      </c>
      <c r="P10" s="48">
        <f t="shared" si="9"/>
        <v>801.66666666666674</v>
      </c>
      <c r="Q10" s="48">
        <f>0</f>
        <v>0</v>
      </c>
      <c r="R10" s="11">
        <f>48954.5+7955.5</f>
        <v>56910</v>
      </c>
      <c r="S10" s="48">
        <v>0</v>
      </c>
      <c r="T10" s="48"/>
      <c r="U10" s="49"/>
      <c r="V10" s="44"/>
    </row>
    <row r="11" spans="1:22" x14ac:dyDescent="0.3">
      <c r="A11" s="47">
        <v>45940</v>
      </c>
      <c r="B11" s="11">
        <v>47850</v>
      </c>
      <c r="C11" s="48">
        <f t="shared" si="0"/>
        <v>43500</v>
      </c>
      <c r="D11" s="48">
        <f t="shared" si="1"/>
        <v>4350</v>
      </c>
      <c r="E11" s="11">
        <f>2850+7430</f>
        <v>10280</v>
      </c>
      <c r="F11" s="48">
        <f t="shared" si="2"/>
        <v>8566.6666666666679</v>
      </c>
      <c r="G11" s="48">
        <f t="shared" si="3"/>
        <v>1713.3333333333337</v>
      </c>
      <c r="H11" s="11">
        <f>355</f>
        <v>355</v>
      </c>
      <c r="I11" s="48">
        <f t="shared" si="4"/>
        <v>322.72727272727269</v>
      </c>
      <c r="J11" s="48">
        <f t="shared" si="5"/>
        <v>32.272727272727273</v>
      </c>
      <c r="K11" s="11">
        <f>400+3800</f>
        <v>4200</v>
      </c>
      <c r="L11" s="48">
        <f t="shared" si="6"/>
        <v>3500</v>
      </c>
      <c r="M11" s="48">
        <f t="shared" si="7"/>
        <v>700</v>
      </c>
      <c r="N11" s="11">
        <f>325+4329</f>
        <v>4654</v>
      </c>
      <c r="O11" s="48">
        <f t="shared" si="8"/>
        <v>3878.3333333333335</v>
      </c>
      <c r="P11" s="48">
        <f t="shared" si="9"/>
        <v>775.66666666666674</v>
      </c>
      <c r="Q11" s="11">
        <v>5126</v>
      </c>
      <c r="R11" s="11">
        <f>3575+58638</f>
        <v>62213</v>
      </c>
      <c r="S11" s="48">
        <v>0</v>
      </c>
      <c r="T11" s="48"/>
      <c r="U11" s="49">
        <f>32354+11710</f>
        <v>44064</v>
      </c>
      <c r="V11" s="44"/>
    </row>
    <row r="12" spans="1:22" s="70" customFormat="1" x14ac:dyDescent="0.3">
      <c r="A12" s="47">
        <v>45941</v>
      </c>
      <c r="B12" s="66">
        <f>525+750+74320+9950</f>
        <v>85545</v>
      </c>
      <c r="C12" s="67">
        <f t="shared" si="0"/>
        <v>77768.181818181809</v>
      </c>
      <c r="D12" s="67">
        <f t="shared" si="1"/>
        <v>7776.8181818181811</v>
      </c>
      <c r="E12" s="66">
        <f>13925+14350+18700+9675</f>
        <v>56650</v>
      </c>
      <c r="F12" s="67">
        <f t="shared" si="2"/>
        <v>47208.333333333336</v>
      </c>
      <c r="G12" s="67">
        <f t="shared" si="3"/>
        <v>9441.6666666666679</v>
      </c>
      <c r="H12" s="66">
        <f>2300+575+3460</f>
        <v>6335</v>
      </c>
      <c r="I12" s="67">
        <f t="shared" si="4"/>
        <v>5759.090909090909</v>
      </c>
      <c r="J12" s="67">
        <f t="shared" si="5"/>
        <v>575.90909090909088</v>
      </c>
      <c r="K12" s="66">
        <f>4500+2400+7200+1400</f>
        <v>15500</v>
      </c>
      <c r="L12" s="67">
        <f t="shared" si="6"/>
        <v>12916.666666666668</v>
      </c>
      <c r="M12" s="67">
        <f t="shared" si="7"/>
        <v>2583.3333333333339</v>
      </c>
      <c r="N12" s="66">
        <f>1985+1807.5+9333+900+1962.5</f>
        <v>15988</v>
      </c>
      <c r="O12" s="67">
        <f t="shared" si="8"/>
        <v>13323.333333333334</v>
      </c>
      <c r="P12" s="67">
        <f t="shared" si="9"/>
        <v>2664.666666666667</v>
      </c>
      <c r="Q12" s="66">
        <f>1990+2400</f>
        <v>4390</v>
      </c>
      <c r="R12" s="66">
        <f>21245+17482.5+113913-13560+22987.5</f>
        <v>162068</v>
      </c>
      <c r="S12" s="66">
        <v>13560</v>
      </c>
      <c r="T12" s="67">
        <v>0</v>
      </c>
      <c r="U12" s="68">
        <f>54346.5+12955</f>
        <v>67301.5</v>
      </c>
      <c r="V12" s="69"/>
    </row>
    <row r="13" spans="1:22" x14ac:dyDescent="0.3">
      <c r="A13" s="47">
        <v>45942</v>
      </c>
      <c r="B13" s="11">
        <f>89875</f>
        <v>89875</v>
      </c>
      <c r="C13" s="48">
        <f t="shared" si="0"/>
        <v>81704.545454545441</v>
      </c>
      <c r="D13" s="48">
        <f t="shared" si="1"/>
        <v>8170.4545454545441</v>
      </c>
      <c r="E13" s="11">
        <f>12290+1400+2650</f>
        <v>16340</v>
      </c>
      <c r="F13" s="48">
        <f t="shared" si="2"/>
        <v>13616.666666666668</v>
      </c>
      <c r="G13" s="48">
        <f t="shared" si="3"/>
        <v>2723.3333333333339</v>
      </c>
      <c r="H13" s="11">
        <f>3665</f>
        <v>3665</v>
      </c>
      <c r="I13" s="48">
        <f t="shared" si="4"/>
        <v>3331.8181818181815</v>
      </c>
      <c r="J13" s="48">
        <f t="shared" si="5"/>
        <v>333.18181818181819</v>
      </c>
      <c r="K13" s="11">
        <f>5900+400</f>
        <v>6300</v>
      </c>
      <c r="L13" s="48">
        <f t="shared" si="6"/>
        <v>5250</v>
      </c>
      <c r="M13" s="48">
        <f t="shared" si="7"/>
        <v>1050</v>
      </c>
      <c r="N13" s="11">
        <f>6155.5+140+250</f>
        <v>6545.5</v>
      </c>
      <c r="O13" s="48">
        <f t="shared" si="8"/>
        <v>5454.5833333333339</v>
      </c>
      <c r="P13" s="48">
        <f t="shared" si="9"/>
        <v>1090.9166666666667</v>
      </c>
      <c r="Q13" s="11">
        <f>550+3780</f>
        <v>4330</v>
      </c>
      <c r="R13" s="11">
        <f>2750+1540+114105.5-5223.5</f>
        <v>113172</v>
      </c>
      <c r="S13" s="11">
        <v>5223.5</v>
      </c>
      <c r="T13" s="48">
        <v>0</v>
      </c>
      <c r="U13" s="49">
        <f>55673+10575+10597</f>
        <v>76845</v>
      </c>
      <c r="V13" s="44"/>
    </row>
    <row r="14" spans="1:22" ht="13.95" customHeight="1" x14ac:dyDescent="0.3">
      <c r="A14" s="47">
        <v>45944</v>
      </c>
      <c r="B14" s="11">
        <v>40150</v>
      </c>
      <c r="C14" s="48">
        <f t="shared" si="0"/>
        <v>36500</v>
      </c>
      <c r="D14" s="48">
        <f t="shared" si="1"/>
        <v>3650</v>
      </c>
      <c r="E14" s="11">
        <f>2900+12945</f>
        <v>15845</v>
      </c>
      <c r="F14" s="48">
        <f t="shared" si="2"/>
        <v>13204.166666666668</v>
      </c>
      <c r="G14" s="48">
        <f t="shared" si="3"/>
        <v>2640.8333333333339</v>
      </c>
      <c r="H14" s="11">
        <f>525</f>
        <v>525</v>
      </c>
      <c r="I14" s="48">
        <f t="shared" si="4"/>
        <v>477.27272727272725</v>
      </c>
      <c r="J14" s="48">
        <f t="shared" si="5"/>
        <v>47.727272727272727</v>
      </c>
      <c r="K14" s="11">
        <f>600+4000</f>
        <v>4600</v>
      </c>
      <c r="L14" s="48">
        <f t="shared" si="6"/>
        <v>3833.3333333333335</v>
      </c>
      <c r="M14" s="48">
        <f t="shared" si="7"/>
        <v>766.66666666666674</v>
      </c>
      <c r="N14" s="11">
        <f>350+5402</f>
        <v>5752</v>
      </c>
      <c r="O14" s="48">
        <f t="shared" si="8"/>
        <v>4793.3333333333339</v>
      </c>
      <c r="P14" s="48">
        <f t="shared" si="9"/>
        <v>958.66666666666686</v>
      </c>
      <c r="Q14" s="48">
        <f>0</f>
        <v>0</v>
      </c>
      <c r="R14" s="11">
        <f>3850+63022-9282.5</f>
        <v>57589.5</v>
      </c>
      <c r="S14" s="11">
        <v>9282.5</v>
      </c>
      <c r="T14" s="48">
        <v>0</v>
      </c>
      <c r="U14" s="49">
        <v>9915</v>
      </c>
      <c r="V14" s="44"/>
    </row>
    <row r="15" spans="1:22" x14ac:dyDescent="0.3">
      <c r="A15" s="47">
        <v>45945</v>
      </c>
      <c r="B15" s="11">
        <v>66345</v>
      </c>
      <c r="C15" s="48">
        <f t="shared" si="0"/>
        <v>60313.63636363636</v>
      </c>
      <c r="D15" s="48">
        <f t="shared" si="1"/>
        <v>6031.363636363636</v>
      </c>
      <c r="E15" s="11">
        <v>12415</v>
      </c>
      <c r="F15" s="48">
        <f t="shared" si="2"/>
        <v>10345.833333333334</v>
      </c>
      <c r="G15" s="48">
        <f t="shared" si="3"/>
        <v>2069.166666666667</v>
      </c>
      <c r="H15" s="11">
        <v>5095</v>
      </c>
      <c r="I15" s="48">
        <f t="shared" si="4"/>
        <v>4631.8181818181811</v>
      </c>
      <c r="J15" s="48">
        <f t="shared" si="5"/>
        <v>463.18181818181813</v>
      </c>
      <c r="K15" s="11">
        <v>9500</v>
      </c>
      <c r="L15" s="48">
        <f t="shared" si="6"/>
        <v>7916.666666666667</v>
      </c>
      <c r="M15" s="48">
        <f t="shared" si="7"/>
        <v>1583.3333333333335</v>
      </c>
      <c r="N15" s="11">
        <v>8635.5</v>
      </c>
      <c r="O15" s="48">
        <f t="shared" si="8"/>
        <v>7196.25</v>
      </c>
      <c r="P15" s="48">
        <f t="shared" si="9"/>
        <v>1439.25</v>
      </c>
      <c r="Q15" s="48">
        <v>0</v>
      </c>
      <c r="R15" s="11">
        <f>101990.5-14979.5</f>
        <v>87011</v>
      </c>
      <c r="S15" s="11">
        <v>14979.5</v>
      </c>
      <c r="T15" s="48">
        <v>0</v>
      </c>
      <c r="U15" s="49">
        <v>11026</v>
      </c>
      <c r="V15" s="44"/>
    </row>
    <row r="16" spans="1:22" x14ac:dyDescent="0.3">
      <c r="A16" s="47">
        <v>45946</v>
      </c>
      <c r="B16" s="11">
        <v>27200</v>
      </c>
      <c r="C16" s="48">
        <f t="shared" si="0"/>
        <v>24727.272727272724</v>
      </c>
      <c r="D16" s="48">
        <f t="shared" si="1"/>
        <v>2472.7272727272725</v>
      </c>
      <c r="E16" s="11">
        <f>700+6125</f>
        <v>6825</v>
      </c>
      <c r="F16" s="48">
        <f t="shared" si="2"/>
        <v>5687.5</v>
      </c>
      <c r="G16" s="48">
        <f t="shared" si="3"/>
        <v>1137.5</v>
      </c>
      <c r="H16" s="11">
        <f>1725+200</f>
        <v>1925</v>
      </c>
      <c r="I16" s="48">
        <f t="shared" si="4"/>
        <v>1749.9999999999998</v>
      </c>
      <c r="J16" s="48">
        <f t="shared" si="5"/>
        <v>175</v>
      </c>
      <c r="K16" s="11">
        <f>800+2600</f>
        <v>3400</v>
      </c>
      <c r="L16" s="48">
        <f t="shared" si="6"/>
        <v>2833.3333333333335</v>
      </c>
      <c r="M16" s="48">
        <f t="shared" si="7"/>
        <v>566.66666666666674</v>
      </c>
      <c r="N16" s="11">
        <f>322.5+3352.5</f>
        <v>3675</v>
      </c>
      <c r="O16" s="48">
        <f t="shared" si="8"/>
        <v>3062.5</v>
      </c>
      <c r="P16" s="48">
        <f t="shared" si="9"/>
        <v>612.5</v>
      </c>
      <c r="Q16" s="48">
        <v>0</v>
      </c>
      <c r="R16" s="11">
        <f>3547.5+39477.5</f>
        <v>43025</v>
      </c>
      <c r="S16" s="48">
        <v>0</v>
      </c>
      <c r="T16" s="48">
        <v>0</v>
      </c>
      <c r="U16" s="49">
        <v>38669.5</v>
      </c>
      <c r="V16" s="44"/>
    </row>
    <row r="17" spans="1:23" x14ac:dyDescent="0.3">
      <c r="A17" s="47">
        <v>45947</v>
      </c>
      <c r="B17" s="11">
        <f>850+26200</f>
        <v>27050</v>
      </c>
      <c r="C17" s="48">
        <f t="shared" si="0"/>
        <v>24590.909090909088</v>
      </c>
      <c r="D17" s="48">
        <f t="shared" si="1"/>
        <v>2459.090909090909</v>
      </c>
      <c r="E17" s="11">
        <f>2100+16315+16500</f>
        <v>34915</v>
      </c>
      <c r="F17" s="48">
        <f t="shared" si="2"/>
        <v>29095.833333333336</v>
      </c>
      <c r="G17" s="48">
        <f t="shared" si="3"/>
        <v>5819.1666666666679</v>
      </c>
      <c r="H17" s="11">
        <f>590</f>
        <v>590</v>
      </c>
      <c r="I17" s="48">
        <f t="shared" si="4"/>
        <v>536.36363636363637</v>
      </c>
      <c r="J17" s="48">
        <f t="shared" si="5"/>
        <v>53.63636363636364</v>
      </c>
      <c r="K17" s="11">
        <f>400+2800+2900</f>
        <v>6100</v>
      </c>
      <c r="L17" s="48">
        <f t="shared" si="6"/>
        <v>5083.3333333333339</v>
      </c>
      <c r="M17" s="48">
        <f t="shared" si="7"/>
        <v>1016.6666666666669</v>
      </c>
      <c r="N17" s="11">
        <f>225+4214.5+1940</f>
        <v>6379.5</v>
      </c>
      <c r="O17" s="48">
        <f t="shared" si="8"/>
        <v>5316.25</v>
      </c>
      <c r="P17" s="48">
        <f t="shared" si="9"/>
        <v>1063.25</v>
      </c>
      <c r="Q17" s="48">
        <f>0</f>
        <v>0</v>
      </c>
      <c r="R17" s="11">
        <f>3575+50119.5-8501.5+21340</f>
        <v>66533</v>
      </c>
      <c r="S17" s="11">
        <v>8501.5</v>
      </c>
      <c r="T17" s="48">
        <v>39655</v>
      </c>
      <c r="U17" s="49">
        <f>19610+38967.5+13950</f>
        <v>72527.5</v>
      </c>
      <c r="V17" s="44"/>
    </row>
    <row r="18" spans="1:23" x14ac:dyDescent="0.3">
      <c r="A18" s="47">
        <v>45948</v>
      </c>
      <c r="B18" s="11">
        <f>13900+83025+3625</f>
        <v>100550</v>
      </c>
      <c r="C18" s="48">
        <f t="shared" si="0"/>
        <v>91409.090909090897</v>
      </c>
      <c r="D18" s="48">
        <f t="shared" si="1"/>
        <v>9140.9090909090901</v>
      </c>
      <c r="E18" s="11">
        <f>23020+4200+15370+2615</f>
        <v>45205</v>
      </c>
      <c r="F18" s="48">
        <f t="shared" si="2"/>
        <v>37670.833333333336</v>
      </c>
      <c r="G18" s="48">
        <f t="shared" si="3"/>
        <v>7534.1666666666679</v>
      </c>
      <c r="H18" s="11">
        <f>1445+3360</f>
        <v>4805</v>
      </c>
      <c r="I18" s="48">
        <f t="shared" si="4"/>
        <v>4368.181818181818</v>
      </c>
      <c r="J18" s="48">
        <f t="shared" si="5"/>
        <v>436.81818181818181</v>
      </c>
      <c r="K18" s="11">
        <f>9000+600+6600+400</f>
        <v>16600</v>
      </c>
      <c r="L18" s="48">
        <f t="shared" si="6"/>
        <v>13833.333333333334</v>
      </c>
      <c r="M18" s="48">
        <f t="shared" si="7"/>
        <v>2766.666666666667</v>
      </c>
      <c r="N18" s="11">
        <f>2849.5+480+9248+624</f>
        <v>13201.5</v>
      </c>
      <c r="O18" s="48">
        <f t="shared" si="8"/>
        <v>11001.25</v>
      </c>
      <c r="P18" s="48">
        <f t="shared" si="9"/>
        <v>2200.25</v>
      </c>
      <c r="Q18" s="11">
        <f>23545</f>
        <v>23545</v>
      </c>
      <c r="R18" s="11">
        <f>26669.5+5280+117603-15870+7264</f>
        <v>140946.5</v>
      </c>
      <c r="S18" s="11">
        <v>15870</v>
      </c>
      <c r="T18" s="48"/>
      <c r="U18" s="49">
        <f>12346+43653.5</f>
        <v>55999.5</v>
      </c>
      <c r="V18" s="44"/>
    </row>
    <row r="19" spans="1:23" x14ac:dyDescent="0.3">
      <c r="A19" s="47">
        <v>45949</v>
      </c>
      <c r="B19" s="11">
        <f>5000+79940</f>
        <v>84940</v>
      </c>
      <c r="C19" s="48">
        <f t="shared" si="0"/>
        <v>77218.181818181809</v>
      </c>
      <c r="D19" s="48">
        <f t="shared" si="1"/>
        <v>7721.8181818181811</v>
      </c>
      <c r="E19" s="11">
        <f>700+7510</f>
        <v>8210</v>
      </c>
      <c r="F19" s="48">
        <f t="shared" si="2"/>
        <v>6841.666666666667</v>
      </c>
      <c r="G19" s="48">
        <f t="shared" si="3"/>
        <v>1368.3333333333335</v>
      </c>
      <c r="H19" s="11">
        <f>575+4175</f>
        <v>4750</v>
      </c>
      <c r="I19" s="48">
        <f t="shared" si="4"/>
        <v>4318.181818181818</v>
      </c>
      <c r="J19" s="48">
        <f t="shared" si="5"/>
        <v>431.81818181818181</v>
      </c>
      <c r="K19" s="11">
        <f>400+2800</f>
        <v>3200</v>
      </c>
      <c r="L19" s="48">
        <f t="shared" si="6"/>
        <v>2666.666666666667</v>
      </c>
      <c r="M19" s="48">
        <f t="shared" si="7"/>
        <v>533.33333333333337</v>
      </c>
      <c r="N19" s="11">
        <f>167.5+3638</f>
        <v>3805.5</v>
      </c>
      <c r="O19" s="48">
        <f t="shared" si="8"/>
        <v>3171.25</v>
      </c>
      <c r="P19" s="48">
        <f t="shared" si="9"/>
        <v>634.25</v>
      </c>
      <c r="Q19" s="11">
        <f>5000+7740</f>
        <v>12740</v>
      </c>
      <c r="R19" s="11">
        <f>1842.5+90323-1790</f>
        <v>90375.5</v>
      </c>
      <c r="S19" s="11">
        <v>1790</v>
      </c>
      <c r="T19" s="48">
        <v>0</v>
      </c>
      <c r="U19" s="49">
        <v>61293</v>
      </c>
      <c r="V19" s="44"/>
    </row>
    <row r="20" spans="1:23" x14ac:dyDescent="0.3">
      <c r="A20" s="47">
        <v>45951</v>
      </c>
      <c r="B20" s="11">
        <f>35180</f>
        <v>35180</v>
      </c>
      <c r="C20" s="48">
        <f t="shared" si="0"/>
        <v>31981.81818181818</v>
      </c>
      <c r="D20" s="48">
        <f t="shared" si="1"/>
        <v>3198.181818181818</v>
      </c>
      <c r="E20" s="11">
        <v>6265</v>
      </c>
      <c r="F20" s="48">
        <f t="shared" si="2"/>
        <v>5220.8333333333339</v>
      </c>
      <c r="G20" s="48">
        <f t="shared" si="3"/>
        <v>1044.1666666666667</v>
      </c>
      <c r="H20" s="11">
        <v>650</v>
      </c>
      <c r="I20" s="48">
        <f t="shared" si="4"/>
        <v>590.90909090909088</v>
      </c>
      <c r="J20" s="48">
        <f t="shared" si="5"/>
        <v>59.090909090909093</v>
      </c>
      <c r="K20" s="11">
        <v>4000</v>
      </c>
      <c r="L20" s="48">
        <f t="shared" si="6"/>
        <v>3333.3333333333335</v>
      </c>
      <c r="M20" s="48">
        <f t="shared" si="7"/>
        <v>666.66666666666674</v>
      </c>
      <c r="N20" s="11">
        <v>3534</v>
      </c>
      <c r="O20" s="48">
        <f t="shared" si="8"/>
        <v>2945</v>
      </c>
      <c r="P20" s="48">
        <f t="shared" si="9"/>
        <v>589</v>
      </c>
      <c r="Q20" s="11">
        <v>3480</v>
      </c>
      <c r="R20" s="11">
        <f>46149-5975</f>
        <v>40174</v>
      </c>
      <c r="S20" s="11">
        <v>5975</v>
      </c>
      <c r="T20" s="48">
        <v>0</v>
      </c>
      <c r="U20" s="49">
        <v>23860</v>
      </c>
      <c r="V20" s="44"/>
    </row>
    <row r="21" spans="1:23" x14ac:dyDescent="0.3">
      <c r="A21" s="47">
        <v>45952</v>
      </c>
      <c r="B21" s="11">
        <f>20895</f>
        <v>20895</v>
      </c>
      <c r="C21" s="48">
        <f t="shared" si="0"/>
        <v>18995.454545454544</v>
      </c>
      <c r="D21" s="48">
        <f t="shared" si="1"/>
        <v>1899.5454545454545</v>
      </c>
      <c r="E21" s="11">
        <v>1400</v>
      </c>
      <c r="F21" s="48">
        <f t="shared" si="2"/>
        <v>1166.6666666666667</v>
      </c>
      <c r="G21" s="48">
        <f t="shared" si="3"/>
        <v>233.33333333333337</v>
      </c>
      <c r="H21" s="11">
        <v>410</v>
      </c>
      <c r="I21" s="48">
        <f t="shared" si="4"/>
        <v>372.72727272727269</v>
      </c>
      <c r="J21" s="48">
        <f t="shared" si="5"/>
        <v>37.272727272727273</v>
      </c>
      <c r="K21" s="11">
        <v>2400</v>
      </c>
      <c r="L21" s="48">
        <f t="shared" si="6"/>
        <v>2000</v>
      </c>
      <c r="M21" s="48">
        <f t="shared" si="7"/>
        <v>400</v>
      </c>
      <c r="N21" s="11">
        <v>2310.5</v>
      </c>
      <c r="O21" s="48">
        <f t="shared" si="8"/>
        <v>1925.4166666666667</v>
      </c>
      <c r="P21" s="48">
        <f t="shared" si="9"/>
        <v>385.08333333333337</v>
      </c>
      <c r="Q21" s="48">
        <f>0</f>
        <v>0</v>
      </c>
      <c r="R21" s="11">
        <f>27415.5</f>
        <v>27415.5</v>
      </c>
      <c r="S21" s="48">
        <v>0</v>
      </c>
      <c r="T21" s="48"/>
      <c r="U21" s="49">
        <f>2000+8000+48393+13050</f>
        <v>71443</v>
      </c>
      <c r="V21" s="44"/>
    </row>
    <row r="22" spans="1:23" x14ac:dyDescent="0.3">
      <c r="A22" s="47">
        <v>45953</v>
      </c>
      <c r="B22" s="11">
        <f>27150+6295+18350</f>
        <v>51795</v>
      </c>
      <c r="C22" s="48">
        <f t="shared" si="0"/>
        <v>47086.363636363632</v>
      </c>
      <c r="D22" s="48">
        <f t="shared" si="1"/>
        <v>4708.6363636363631</v>
      </c>
      <c r="E22" s="11">
        <f>9035+2900+6790</f>
        <v>18725</v>
      </c>
      <c r="F22" s="48">
        <f t="shared" si="2"/>
        <v>15604.166666666668</v>
      </c>
      <c r="G22" s="48">
        <f t="shared" si="3"/>
        <v>3120.8333333333339</v>
      </c>
      <c r="H22" s="11">
        <f>390+560</f>
        <v>950</v>
      </c>
      <c r="I22" s="48">
        <f t="shared" si="4"/>
        <v>863.63636363636351</v>
      </c>
      <c r="J22" s="48">
        <f t="shared" si="5"/>
        <v>86.36363636363636</v>
      </c>
      <c r="K22" s="11">
        <f>2800+800+1600</f>
        <v>5200</v>
      </c>
      <c r="L22" s="48">
        <f t="shared" si="6"/>
        <v>4333.3333333333339</v>
      </c>
      <c r="M22" s="48">
        <f t="shared" si="7"/>
        <v>866.66666666666686</v>
      </c>
      <c r="N22" s="11">
        <f>3697.5+919.5+2570</f>
        <v>7187</v>
      </c>
      <c r="O22" s="48">
        <f t="shared" si="8"/>
        <v>5989.166666666667</v>
      </c>
      <c r="P22" s="48">
        <f t="shared" si="9"/>
        <v>1197.8333333333335</v>
      </c>
      <c r="Q22" s="11">
        <f>4030</f>
        <v>4030</v>
      </c>
      <c r="R22" s="11">
        <f>43072.5+6884.5+29870</f>
        <v>79827</v>
      </c>
      <c r="S22" s="48">
        <v>0</v>
      </c>
      <c r="T22" s="48">
        <v>0</v>
      </c>
      <c r="U22" s="49">
        <v>26350</v>
      </c>
      <c r="V22" s="44"/>
    </row>
    <row r="23" spans="1:23" x14ac:dyDescent="0.3">
      <c r="A23" s="47">
        <v>45954</v>
      </c>
      <c r="B23" s="11">
        <f>37750+2675</f>
        <v>40425</v>
      </c>
      <c r="C23" s="48">
        <f t="shared" si="0"/>
        <v>36750</v>
      </c>
      <c r="D23" s="48">
        <f t="shared" si="1"/>
        <v>3675</v>
      </c>
      <c r="E23" s="11">
        <f>8370+1400+2800</f>
        <v>12570</v>
      </c>
      <c r="F23" s="48">
        <f t="shared" si="2"/>
        <v>10475</v>
      </c>
      <c r="G23" s="48">
        <f t="shared" si="3"/>
        <v>2095</v>
      </c>
      <c r="H23" s="11">
        <f>190+1285</f>
        <v>1475</v>
      </c>
      <c r="I23" s="48">
        <f t="shared" si="4"/>
        <v>1340.9090909090908</v>
      </c>
      <c r="J23" s="48">
        <f t="shared" si="5"/>
        <v>134.09090909090909</v>
      </c>
      <c r="K23" s="11">
        <f>3900+800+400</f>
        <v>5100</v>
      </c>
      <c r="L23" s="48">
        <f t="shared" si="6"/>
        <v>4250</v>
      </c>
      <c r="M23" s="48">
        <f t="shared" si="7"/>
        <v>850</v>
      </c>
      <c r="N23" s="11">
        <f>3816+180+320</f>
        <v>4316</v>
      </c>
      <c r="O23" s="48">
        <f t="shared" si="8"/>
        <v>3596.666666666667</v>
      </c>
      <c r="P23" s="48">
        <f t="shared" si="9"/>
        <v>719.33333333333348</v>
      </c>
      <c r="Q23" s="11">
        <f>4360</f>
        <v>4360</v>
      </c>
      <c r="R23" s="11">
        <f>54026-7979+1980+3520</f>
        <v>51547</v>
      </c>
      <c r="S23" s="11">
        <v>7979</v>
      </c>
      <c r="T23" s="48">
        <v>0</v>
      </c>
      <c r="U23" s="49">
        <f>29127.5</f>
        <v>29127.5</v>
      </c>
      <c r="V23" s="44"/>
    </row>
    <row r="24" spans="1:23" x14ac:dyDescent="0.3">
      <c r="A24" s="47">
        <v>45955</v>
      </c>
      <c r="B24" s="11">
        <f>64145+24000</f>
        <v>88145</v>
      </c>
      <c r="C24" s="48">
        <f t="shared" si="0"/>
        <v>80131.818181818177</v>
      </c>
      <c r="D24" s="48">
        <f t="shared" si="1"/>
        <v>8013.181818181818</v>
      </c>
      <c r="E24" s="11">
        <f>17050+4200+9250+15990</f>
        <v>46490</v>
      </c>
      <c r="F24" s="48">
        <f t="shared" si="2"/>
        <v>38741.666666666672</v>
      </c>
      <c r="G24" s="48">
        <f t="shared" si="3"/>
        <v>7748.3333333333348</v>
      </c>
      <c r="H24" s="11">
        <f>3835+2060</f>
        <v>5895</v>
      </c>
      <c r="I24" s="48">
        <f t="shared" si="4"/>
        <v>5359.090909090909</v>
      </c>
      <c r="J24" s="48">
        <f t="shared" si="5"/>
        <v>535.90909090909088</v>
      </c>
      <c r="K24" s="11">
        <f>6200+1400+5600</f>
        <v>13200</v>
      </c>
      <c r="L24" s="48">
        <f t="shared" si="6"/>
        <v>11000</v>
      </c>
      <c r="M24" s="48">
        <f t="shared" si="7"/>
        <v>2200</v>
      </c>
      <c r="N24" s="11">
        <f>8503+420+740+4485</f>
        <v>14148</v>
      </c>
      <c r="O24" s="48">
        <f t="shared" si="8"/>
        <v>11790</v>
      </c>
      <c r="P24" s="48">
        <f t="shared" si="9"/>
        <v>2358</v>
      </c>
      <c r="Q24" s="11">
        <f>3250+7852.5</f>
        <v>11102.5</v>
      </c>
      <c r="R24" s="11">
        <f>99733-5289.5+4620+8140+44282.5</f>
        <v>151486</v>
      </c>
      <c r="S24" s="11">
        <v>5289.5</v>
      </c>
      <c r="T24" s="48"/>
      <c r="U24" s="49">
        <f>55927+47365.5+10500</f>
        <v>113792.5</v>
      </c>
      <c r="V24" s="44"/>
    </row>
    <row r="25" spans="1:23" x14ac:dyDescent="0.3">
      <c r="A25" s="47">
        <v>45956</v>
      </c>
      <c r="B25" s="11">
        <v>76782.5</v>
      </c>
      <c r="C25" s="48">
        <f t="shared" ref="C25:C28" si="10">B25/1.1</f>
        <v>69802.272727272721</v>
      </c>
      <c r="D25" s="48">
        <f t="shared" ref="D25:D28" si="11">C25*0.1</f>
        <v>6980.2272727272721</v>
      </c>
      <c r="E25" s="11">
        <v>5115</v>
      </c>
      <c r="F25" s="48">
        <f t="shared" ref="F25:F28" si="12">E25/1.2</f>
        <v>4262.5</v>
      </c>
      <c r="G25" s="48">
        <f t="shared" ref="G25:G28" si="13">F25*0.2</f>
        <v>852.5</v>
      </c>
      <c r="H25" s="11">
        <v>5015</v>
      </c>
      <c r="I25" s="48">
        <f t="shared" ref="I25:I28" si="14">H25/1.1</f>
        <v>4559.090909090909</v>
      </c>
      <c r="J25" s="48">
        <f t="shared" ref="J25:J28" si="15">I25*0.1</f>
        <v>455.90909090909093</v>
      </c>
      <c r="K25" s="11">
        <v>7200</v>
      </c>
      <c r="L25" s="48">
        <f t="shared" ref="L25:L28" si="16">K25/1.2</f>
        <v>6000</v>
      </c>
      <c r="M25" s="48">
        <f t="shared" ref="M25:M28" si="17">L25*0.2</f>
        <v>1200</v>
      </c>
      <c r="N25" s="11">
        <v>5003</v>
      </c>
      <c r="O25" s="48">
        <f t="shared" ref="O25:O28" si="18">N25/1.2</f>
        <v>4169.166666666667</v>
      </c>
      <c r="P25" s="48">
        <f t="shared" ref="P25:P28" si="19">O25*0.2</f>
        <v>833.83333333333348</v>
      </c>
      <c r="Q25" s="11">
        <v>2190</v>
      </c>
      <c r="R25" s="11">
        <f>96925.5-2952</f>
        <v>93973.5</v>
      </c>
      <c r="S25" s="11">
        <v>2952</v>
      </c>
      <c r="T25" s="48">
        <v>0</v>
      </c>
      <c r="U25" s="49">
        <v>46102.5</v>
      </c>
      <c r="V25" s="44"/>
    </row>
    <row r="26" spans="1:23" x14ac:dyDescent="0.3">
      <c r="A26" s="47">
        <v>45958</v>
      </c>
      <c r="B26" s="11">
        <f>9450+25700+5650</f>
        <v>40800</v>
      </c>
      <c r="C26" s="48">
        <f t="shared" si="10"/>
        <v>37090.909090909088</v>
      </c>
      <c r="D26" s="48">
        <f t="shared" si="11"/>
        <v>3709.090909090909</v>
      </c>
      <c r="E26" s="11">
        <f>3570+9520+3000</f>
        <v>16090</v>
      </c>
      <c r="F26" s="48">
        <f t="shared" si="12"/>
        <v>13408.333333333334</v>
      </c>
      <c r="G26" s="48">
        <f t="shared" si="13"/>
        <v>2681.666666666667</v>
      </c>
      <c r="H26" s="11">
        <f>235+95+150</f>
        <v>480</v>
      </c>
      <c r="I26" s="48">
        <f t="shared" si="14"/>
        <v>436.36363636363632</v>
      </c>
      <c r="J26" s="48">
        <f t="shared" si="15"/>
        <v>43.636363636363633</v>
      </c>
      <c r="K26" s="11">
        <f>1200+2400+400</f>
        <v>4000</v>
      </c>
      <c r="L26" s="48">
        <f t="shared" si="16"/>
        <v>3333.3333333333335</v>
      </c>
      <c r="M26" s="48">
        <f t="shared" si="17"/>
        <v>666.66666666666674</v>
      </c>
      <c r="N26" s="11">
        <f>1325.5+3531.5+280</f>
        <v>5137</v>
      </c>
      <c r="O26" s="48">
        <f t="shared" si="18"/>
        <v>4280.8333333333339</v>
      </c>
      <c r="P26" s="48">
        <f t="shared" si="19"/>
        <v>856.16666666666686</v>
      </c>
      <c r="Q26" s="11">
        <f>1740</f>
        <v>1740</v>
      </c>
      <c r="R26" s="11">
        <f>15780.5+41246.5-9832.5+7740</f>
        <v>54934.5</v>
      </c>
      <c r="S26" s="11">
        <v>9832.5</v>
      </c>
      <c r="T26" s="48">
        <v>0</v>
      </c>
      <c r="U26" s="49">
        <f>10685+52899.5</f>
        <v>63584.5</v>
      </c>
      <c r="V26" s="44"/>
    </row>
    <row r="27" spans="1:23" x14ac:dyDescent="0.3">
      <c r="A27" s="47">
        <v>45959</v>
      </c>
      <c r="B27" s="11">
        <f>33825+11921</f>
        <v>45746</v>
      </c>
      <c r="C27" s="48">
        <f t="shared" si="10"/>
        <v>41587.272727272721</v>
      </c>
      <c r="D27" s="48">
        <f t="shared" si="11"/>
        <v>4158.7272727272721</v>
      </c>
      <c r="E27" s="11">
        <f>7480+500</f>
        <v>7980</v>
      </c>
      <c r="F27" s="48">
        <f t="shared" si="12"/>
        <v>6650</v>
      </c>
      <c r="G27" s="48">
        <f t="shared" si="13"/>
        <v>1330</v>
      </c>
      <c r="H27" s="11">
        <f>2620+1380</f>
        <v>4000</v>
      </c>
      <c r="I27" s="48">
        <f t="shared" si="14"/>
        <v>3636.363636363636</v>
      </c>
      <c r="J27" s="48">
        <f t="shared" si="15"/>
        <v>363.63636363636363</v>
      </c>
      <c r="K27" s="11">
        <f>3600+2150</f>
        <v>5750</v>
      </c>
      <c r="L27" s="48">
        <f t="shared" si="16"/>
        <v>4791.666666666667</v>
      </c>
      <c r="M27" s="48">
        <f t="shared" si="17"/>
        <v>958.33333333333348</v>
      </c>
      <c r="N27" s="11">
        <f>4254.5+1388</f>
        <v>5642.5</v>
      </c>
      <c r="O27" s="48">
        <f t="shared" si="18"/>
        <v>4702.0833333333339</v>
      </c>
      <c r="P27" s="48">
        <f t="shared" si="19"/>
        <v>940.41666666666686</v>
      </c>
      <c r="Q27" s="11">
        <f>1380+4661.5</f>
        <v>6041.5</v>
      </c>
      <c r="R27" s="11">
        <f>50399.5-7027.5+12677.5-1497</f>
        <v>54552.5</v>
      </c>
      <c r="S27" s="11">
        <f>7027.5+1497</f>
        <v>8524.5</v>
      </c>
      <c r="T27" s="48">
        <v>0</v>
      </c>
      <c r="U27" s="49">
        <f>28192.5+35409</f>
        <v>63601.5</v>
      </c>
      <c r="V27" s="44"/>
    </row>
    <row r="28" spans="1:23" x14ac:dyDescent="0.3">
      <c r="A28" s="47">
        <v>45960</v>
      </c>
      <c r="B28" s="11">
        <f>18250+1409.09+10925</f>
        <v>30584.09</v>
      </c>
      <c r="C28" s="48">
        <f t="shared" si="10"/>
        <v>27803.718181818178</v>
      </c>
      <c r="D28" s="48">
        <f t="shared" si="11"/>
        <v>2780.3718181818181</v>
      </c>
      <c r="E28" s="11">
        <f>3390+4590.91+3250</f>
        <v>11230.91</v>
      </c>
      <c r="F28" s="48">
        <f t="shared" si="12"/>
        <v>9359.0916666666672</v>
      </c>
      <c r="G28" s="48">
        <f t="shared" si="13"/>
        <v>1871.8183333333336</v>
      </c>
      <c r="H28" s="11">
        <v>470</v>
      </c>
      <c r="I28" s="48">
        <f t="shared" si="14"/>
        <v>427.27272727272725</v>
      </c>
      <c r="J28" s="48">
        <f t="shared" si="15"/>
        <v>42.727272727272727</v>
      </c>
      <c r="K28" s="11">
        <f>1600+1400</f>
        <v>3000</v>
      </c>
      <c r="L28" s="48">
        <f t="shared" si="16"/>
        <v>2500</v>
      </c>
      <c r="M28" s="48">
        <f t="shared" si="17"/>
        <v>500</v>
      </c>
      <c r="N28" s="11">
        <f>2164+1464.5</f>
        <v>3628.5</v>
      </c>
      <c r="O28" s="48">
        <f t="shared" si="18"/>
        <v>3023.75</v>
      </c>
      <c r="P28" s="48">
        <f t="shared" si="19"/>
        <v>604.75</v>
      </c>
      <c r="Q28" s="48">
        <v>0</v>
      </c>
      <c r="R28" s="11">
        <f>25404+6000+17509.5</f>
        <v>48913.5</v>
      </c>
      <c r="S28" s="48">
        <v>0</v>
      </c>
      <c r="T28" s="48">
        <v>0</v>
      </c>
      <c r="U28" s="49">
        <v>11295.5</v>
      </c>
      <c r="V28" s="44"/>
    </row>
    <row r="29" spans="1:23" x14ac:dyDescent="0.3">
      <c r="A29" s="47">
        <v>45961</v>
      </c>
      <c r="B29" s="11">
        <f>23950+7000</f>
        <v>30950</v>
      </c>
      <c r="C29" s="48">
        <f t="shared" ref="C29" si="20">B29/1.1</f>
        <v>28136.363636363632</v>
      </c>
      <c r="D29" s="48">
        <f t="shared" ref="D29" si="21">C29*0.1</f>
        <v>2813.6363636363635</v>
      </c>
      <c r="E29" s="11">
        <f>10030+7945</f>
        <v>17975</v>
      </c>
      <c r="F29" s="48">
        <f t="shared" ref="F29" si="22">E29/1.2</f>
        <v>14979.166666666668</v>
      </c>
      <c r="G29" s="48">
        <f t="shared" ref="G29" si="23">F29*0.2</f>
        <v>2995.8333333333339</v>
      </c>
      <c r="H29" s="11">
        <f>1260+735</f>
        <v>1995</v>
      </c>
      <c r="I29" s="48">
        <f t="shared" ref="I29" si="24">H29/1.1</f>
        <v>1813.6363636363635</v>
      </c>
      <c r="J29" s="48">
        <f t="shared" ref="J29" si="25">I29*0.1</f>
        <v>181.36363636363637</v>
      </c>
      <c r="K29" s="11">
        <f>4200+800</f>
        <v>5000</v>
      </c>
      <c r="L29" s="48">
        <f t="shared" ref="L29" si="26">K29/1.2</f>
        <v>4166.666666666667</v>
      </c>
      <c r="M29" s="48">
        <f t="shared" ref="M29" si="27">L29*0.2</f>
        <v>833.33333333333348</v>
      </c>
      <c r="N29" s="11">
        <f>3644+1292</f>
        <v>4936</v>
      </c>
      <c r="O29" s="48">
        <f t="shared" ref="O29" si="28">N29/1.2</f>
        <v>4113.3333333333339</v>
      </c>
      <c r="P29" s="48">
        <f t="shared" ref="P29" si="29">O29*0.2</f>
        <v>822.66666666666686</v>
      </c>
      <c r="Q29" s="11">
        <f>1162.5+2760</f>
        <v>3922.5</v>
      </c>
      <c r="R29" s="11">
        <f>41921.5+15012-4700</f>
        <v>52233.5</v>
      </c>
      <c r="S29" s="11">
        <v>4700</v>
      </c>
      <c r="T29" s="48">
        <v>0</v>
      </c>
      <c r="U29" s="49">
        <v>0</v>
      </c>
      <c r="V29" s="44"/>
    </row>
    <row r="30" spans="1:23" x14ac:dyDescent="0.3">
      <c r="B30" s="55">
        <f>SUM(B3:B29)</f>
        <v>1381692.59</v>
      </c>
      <c r="C30" s="56">
        <f>B30/1.1</f>
        <v>1256084.1727272726</v>
      </c>
      <c r="D30" s="56">
        <f t="shared" ref="D30" si="30">C30*10/100</f>
        <v>125608.41727272727</v>
      </c>
      <c r="E30" s="55">
        <f>SUM(E3:E29)</f>
        <v>486920.91</v>
      </c>
      <c r="F30" s="56">
        <f t="shared" si="2"/>
        <v>405767.42499999999</v>
      </c>
      <c r="G30" s="56">
        <f t="shared" ref="G30" si="31">F30*20/100</f>
        <v>81153.485000000001</v>
      </c>
      <c r="H30" s="55">
        <f>SUM(H3:H29)</f>
        <v>66950</v>
      </c>
      <c r="I30" s="56">
        <f t="shared" si="4"/>
        <v>60863.63636363636</v>
      </c>
      <c r="J30" s="56">
        <f t="shared" ref="J30" si="32">I30*10/100</f>
        <v>6086.363636363636</v>
      </c>
      <c r="K30" s="55">
        <f>SUM(K3:K29)</f>
        <v>172200</v>
      </c>
      <c r="L30" s="56">
        <f t="shared" si="6"/>
        <v>143500</v>
      </c>
      <c r="M30" s="56">
        <f t="shared" ref="M30" si="33">L30*20/100</f>
        <v>28700</v>
      </c>
      <c r="N30" s="55">
        <f>SUM(N3:N29)</f>
        <v>174037</v>
      </c>
      <c r="O30" s="56">
        <f t="shared" si="8"/>
        <v>145030.83333333334</v>
      </c>
      <c r="P30" s="56">
        <f t="shared" ref="P30" si="34">O30*20/100</f>
        <v>29006.166666666672</v>
      </c>
      <c r="Q30" s="55">
        <f>SUM(Q3:Q29)</f>
        <v>121902.5</v>
      </c>
      <c r="R30" s="55">
        <f>SUM(R3:R29)</f>
        <v>2017672.5</v>
      </c>
      <c r="S30" s="55">
        <f>SUM(S3:S29)</f>
        <v>142225.5</v>
      </c>
      <c r="T30" s="55">
        <f>SUM(T3:T29)</f>
        <v>44060</v>
      </c>
      <c r="U30" s="55">
        <f>SUM(U3:U29)</f>
        <v>1411902</v>
      </c>
      <c r="V30" s="44"/>
    </row>
    <row r="32" spans="1:23" x14ac:dyDescent="0.3">
      <c r="A32" s="54" t="s">
        <v>83</v>
      </c>
      <c r="B32" s="55">
        <v>139892.97999999998</v>
      </c>
      <c r="C32" s="56">
        <v>127175.43636363634</v>
      </c>
      <c r="D32" s="56">
        <v>12717.543636363633</v>
      </c>
      <c r="H32" s="43">
        <v>685487.22</v>
      </c>
      <c r="I32" s="43">
        <v>623170.19999999995</v>
      </c>
      <c r="J32" s="43">
        <v>62317.02</v>
      </c>
      <c r="Q32" s="43">
        <v>149528.75</v>
      </c>
      <c r="R32" s="43">
        <v>637512.94999999995</v>
      </c>
      <c r="S32" s="43">
        <v>36663.5</v>
      </c>
      <c r="T32" s="43">
        <v>6285</v>
      </c>
      <c r="U32" s="43">
        <v>6157.5</v>
      </c>
      <c r="V32" s="54">
        <v>6830</v>
      </c>
      <c r="W32" s="43">
        <v>1675</v>
      </c>
    </row>
    <row r="36" spans="1:23" x14ac:dyDescent="0.3">
      <c r="B36" s="102">
        <v>0.1</v>
      </c>
      <c r="C36" s="103">
        <v>0.2</v>
      </c>
      <c r="D36" s="43" t="s">
        <v>6</v>
      </c>
      <c r="E36" s="43" t="s">
        <v>57</v>
      </c>
      <c r="F36" s="43" t="s">
        <v>80</v>
      </c>
      <c r="G36" s="43" t="s">
        <v>81</v>
      </c>
    </row>
    <row r="37" spans="1:23" x14ac:dyDescent="0.3">
      <c r="B37" s="105">
        <v>205916.01</v>
      </c>
      <c r="C37" s="57">
        <v>237242.5</v>
      </c>
      <c r="D37" s="57">
        <v>60575.5</v>
      </c>
      <c r="E37" s="57">
        <v>382583.01</v>
      </c>
      <c r="F37" s="57">
        <v>2100</v>
      </c>
      <c r="G37" s="57">
        <v>309268.5</v>
      </c>
    </row>
    <row r="38" spans="1:23" x14ac:dyDescent="0.3">
      <c r="B38" s="105">
        <v>1248521.5900000001</v>
      </c>
      <c r="C38" s="57">
        <v>601624.91</v>
      </c>
      <c r="D38" s="57">
        <v>63523.5</v>
      </c>
      <c r="E38" s="57">
        <v>1786623</v>
      </c>
      <c r="F38" s="57">
        <v>41960</v>
      </c>
      <c r="G38" s="57">
        <v>1130702.5</v>
      </c>
    </row>
    <row r="39" spans="1:23" x14ac:dyDescent="0.3">
      <c r="B39" s="106">
        <f t="shared" ref="B39:G39" si="35">SUM(B37:B38)</f>
        <v>1454437.6</v>
      </c>
      <c r="C39" s="55">
        <f t="shared" si="35"/>
        <v>838867.41</v>
      </c>
      <c r="D39" s="55">
        <f t="shared" si="35"/>
        <v>124099</v>
      </c>
      <c r="E39" s="55">
        <f t="shared" si="35"/>
        <v>2169206.0099999998</v>
      </c>
      <c r="F39" s="55">
        <f t="shared" si="35"/>
        <v>44060</v>
      </c>
      <c r="G39" s="55">
        <f t="shared" si="35"/>
        <v>1439971</v>
      </c>
    </row>
    <row r="40" spans="1:23" x14ac:dyDescent="0.3">
      <c r="A40" s="105" t="s">
        <v>33</v>
      </c>
      <c r="B40" s="115">
        <f>B30+H30</f>
        <v>1448642.59</v>
      </c>
      <c r="C40" s="115">
        <f>E30+K30+N30</f>
        <v>833157.90999999992</v>
      </c>
      <c r="D40" s="115">
        <f>Q30</f>
        <v>121902.5</v>
      </c>
      <c r="E40" s="115">
        <f>R30+S30</f>
        <v>2159898</v>
      </c>
      <c r="F40" s="115">
        <f>T30</f>
        <v>44060</v>
      </c>
      <c r="G40" s="115">
        <f>U30</f>
        <v>1411902</v>
      </c>
    </row>
    <row r="41" spans="1:23" x14ac:dyDescent="0.3">
      <c r="A41" s="105" t="s">
        <v>17</v>
      </c>
      <c r="B41" s="57">
        <f>B39-B40</f>
        <v>5795.0100000000093</v>
      </c>
      <c r="C41" s="57">
        <f t="shared" ref="C41:G41" si="36">C39-C40</f>
        <v>5709.5000000001164</v>
      </c>
      <c r="D41" s="57">
        <f t="shared" si="36"/>
        <v>2196.5</v>
      </c>
      <c r="E41" s="57">
        <f t="shared" si="36"/>
        <v>9308.0099999997765</v>
      </c>
      <c r="F41" s="57">
        <f t="shared" si="36"/>
        <v>0</v>
      </c>
      <c r="G41" s="57">
        <f t="shared" si="36"/>
        <v>28069</v>
      </c>
    </row>
    <row r="42" spans="1:23" x14ac:dyDescent="0.3">
      <c r="C42" s="43">
        <v>11504.51</v>
      </c>
      <c r="E42" s="43">
        <v>11504.51</v>
      </c>
    </row>
    <row r="44" spans="1:23" ht="15" thickBot="1" x14ac:dyDescent="0.35"/>
    <row r="45" spans="1:23" x14ac:dyDescent="0.3">
      <c r="A45" s="76"/>
      <c r="B45" s="77"/>
      <c r="C45" s="77"/>
      <c r="D45" s="77"/>
      <c r="E45" s="78"/>
      <c r="G45" s="76"/>
      <c r="H45" s="77"/>
      <c r="I45" s="77"/>
      <c r="J45" s="77"/>
      <c r="K45" s="78"/>
      <c r="Q45" s="57"/>
      <c r="R45" s="57"/>
      <c r="V45" s="43"/>
    </row>
    <row r="46" spans="1:23" x14ac:dyDescent="0.3">
      <c r="A46" s="142" t="s">
        <v>63</v>
      </c>
      <c r="B46" s="143"/>
      <c r="C46" s="143"/>
      <c r="D46" s="143"/>
      <c r="E46" s="144"/>
      <c r="G46" s="142" t="s">
        <v>75</v>
      </c>
      <c r="H46" s="143"/>
      <c r="I46" s="143"/>
      <c r="J46" s="143"/>
      <c r="K46" s="144"/>
      <c r="V46" s="43"/>
    </row>
    <row r="47" spans="1:23" x14ac:dyDescent="0.3">
      <c r="A47" s="79"/>
      <c r="B47" s="80"/>
      <c r="C47" s="80"/>
      <c r="D47" s="80"/>
      <c r="E47" s="81"/>
      <c r="G47" s="79"/>
      <c r="H47" s="80"/>
      <c r="I47" s="80"/>
      <c r="J47" s="80"/>
      <c r="K47" s="81"/>
      <c r="V47" s="43"/>
    </row>
    <row r="48" spans="1:23" x14ac:dyDescent="0.3">
      <c r="A48" s="82" t="s">
        <v>33</v>
      </c>
      <c r="B48" s="83">
        <v>1</v>
      </c>
      <c r="C48" s="84">
        <v>2</v>
      </c>
      <c r="D48" s="84" t="s">
        <v>37</v>
      </c>
      <c r="E48" s="85" t="s">
        <v>56</v>
      </c>
      <c r="F48"/>
      <c r="G48" s="82"/>
      <c r="H48" s="83">
        <v>1</v>
      </c>
      <c r="I48" s="84"/>
      <c r="J48" s="84" t="s">
        <v>37</v>
      </c>
      <c r="K48" s="85" t="s">
        <v>56</v>
      </c>
      <c r="L48"/>
      <c r="M48"/>
      <c r="N48"/>
      <c r="O48" t="s">
        <v>58</v>
      </c>
      <c r="P48"/>
      <c r="Q48" t="s">
        <v>59</v>
      </c>
      <c r="R48" t="s">
        <v>60</v>
      </c>
      <c r="S48" t="s">
        <v>61</v>
      </c>
      <c r="T48" t="s">
        <v>62</v>
      </c>
      <c r="U48"/>
      <c r="V48" s="4"/>
      <c r="W48"/>
    </row>
    <row r="49" spans="1:23" x14ac:dyDescent="0.3">
      <c r="A49" s="86">
        <v>0.1</v>
      </c>
      <c r="B49" s="83">
        <v>1244451.5900000001</v>
      </c>
      <c r="C49" s="83">
        <v>204191.01</v>
      </c>
      <c r="D49" s="83">
        <v>825380.2</v>
      </c>
      <c r="E49" s="85">
        <f>SUM(B49:D49)</f>
        <v>2274022.7999999998</v>
      </c>
      <c r="F49" s="5"/>
      <c r="G49" s="86">
        <v>0.1</v>
      </c>
      <c r="H49" s="83">
        <f>B30+H30</f>
        <v>1448642.59</v>
      </c>
      <c r="I49" s="83"/>
      <c r="J49" s="83">
        <f>B32+H32</f>
        <v>825380.2</v>
      </c>
      <c r="K49" s="85">
        <f>SUM(H49:J49)</f>
        <v>2274022.79</v>
      </c>
      <c r="L49" s="5"/>
      <c r="M49"/>
      <c r="N49" s="72">
        <v>0.1</v>
      </c>
      <c r="O49" s="5">
        <v>0</v>
      </c>
      <c r="P49"/>
      <c r="Q49" s="5">
        <f>2158848.13-7037.25</f>
        <v>2151810.88</v>
      </c>
      <c r="R49" s="5">
        <v>768256.99</v>
      </c>
      <c r="S49" s="5">
        <f>SUM(Q49:R49)</f>
        <v>2920067.87</v>
      </c>
      <c r="T49" s="5">
        <f>S49*10/100</f>
        <v>292006.78700000001</v>
      </c>
      <c r="U49" s="5">
        <v>292006.74</v>
      </c>
      <c r="V49" s="100">
        <f>T49-U49</f>
        <v>4.7000000020489097E-2</v>
      </c>
      <c r="W49"/>
    </row>
    <row r="50" spans="1:23" x14ac:dyDescent="0.3">
      <c r="A50" s="86">
        <v>0.2</v>
      </c>
      <c r="B50" s="83">
        <v>599552.91</v>
      </c>
      <c r="C50" s="83">
        <v>233605</v>
      </c>
      <c r="D50" s="83"/>
      <c r="E50" s="85">
        <f>SUM(B50:D50)</f>
        <v>833157.91</v>
      </c>
      <c r="F50" s="5"/>
      <c r="G50" s="86">
        <v>0.2</v>
      </c>
      <c r="H50" s="83">
        <f>E30+K30+N30</f>
        <v>833157.90999999992</v>
      </c>
      <c r="I50" s="83"/>
      <c r="J50" s="83"/>
      <c r="K50" s="85">
        <f>SUM(H50:J50)</f>
        <v>833157.90999999992</v>
      </c>
      <c r="L50" s="5"/>
      <c r="M50"/>
      <c r="N50" s="72">
        <v>0.2</v>
      </c>
      <c r="O50" s="5">
        <f>D50</f>
        <v>0</v>
      </c>
      <c r="P50"/>
      <c r="Q50" s="5">
        <f>1242224.42-1145.82</f>
        <v>1241078.5999999999</v>
      </c>
      <c r="R50" s="5"/>
      <c r="S50" s="5">
        <f>SUM(Q50:R50)</f>
        <v>1241078.5999999999</v>
      </c>
      <c r="T50" s="5">
        <f>S50*20/100</f>
        <v>248215.71999999997</v>
      </c>
      <c r="U50" s="5">
        <v>248215.73</v>
      </c>
      <c r="V50" s="100">
        <f>T50-U50</f>
        <v>-1.0000000038417056E-2</v>
      </c>
      <c r="W50"/>
    </row>
    <row r="51" spans="1:23" x14ac:dyDescent="0.3">
      <c r="A51" s="87" t="s">
        <v>56</v>
      </c>
      <c r="B51" s="88">
        <f>SUM(B49:B50)</f>
        <v>1844004.5</v>
      </c>
      <c r="C51" s="88">
        <f>SUM(C49:C50)</f>
        <v>437796.01</v>
      </c>
      <c r="D51" s="88">
        <f>SUM(D49:D50)</f>
        <v>825380.2</v>
      </c>
      <c r="E51" s="85">
        <f>SUM(E49:E50)</f>
        <v>3107180.71</v>
      </c>
      <c r="F51" s="6"/>
      <c r="G51" s="87" t="s">
        <v>56</v>
      </c>
      <c r="H51" s="88">
        <f>SUM(H49:H50)</f>
        <v>2281800.5</v>
      </c>
      <c r="I51" s="88"/>
      <c r="J51" s="88">
        <f>SUM(J49:J50)</f>
        <v>825380.2</v>
      </c>
      <c r="K51" s="89">
        <f>SUM(K49:K50)</f>
        <v>3107180.7</v>
      </c>
      <c r="L51" s="5"/>
      <c r="M51"/>
      <c r="N51"/>
      <c r="O51"/>
      <c r="P51"/>
      <c r="Q51" s="5"/>
      <c r="R51" s="5"/>
      <c r="S51" s="5">
        <f>SUM(S49:S50)</f>
        <v>4161146.4699999997</v>
      </c>
      <c r="T51" s="5">
        <f>SUM(T49:T50)</f>
        <v>540222.50699999998</v>
      </c>
      <c r="U51" s="5">
        <f>S51+T51</f>
        <v>4701368.977</v>
      </c>
      <c r="V51" s="73" t="s">
        <v>64</v>
      </c>
      <c r="W51"/>
    </row>
    <row r="52" spans="1:23" x14ac:dyDescent="0.3">
      <c r="A52" s="82" t="s">
        <v>65</v>
      </c>
      <c r="B52" s="83">
        <v>105483.5</v>
      </c>
      <c r="C52" s="83">
        <v>60479</v>
      </c>
      <c r="D52" s="83">
        <v>149528.75</v>
      </c>
      <c r="E52" s="85">
        <f>SUM(B52:D52)</f>
        <v>315491.25</v>
      </c>
      <c r="F52" s="5"/>
      <c r="G52" s="82" t="s">
        <v>65</v>
      </c>
      <c r="H52" s="83">
        <f>Q30+T30</f>
        <v>165962.5</v>
      </c>
      <c r="I52" s="83"/>
      <c r="J52" s="83">
        <f>Q32</f>
        <v>149528.75</v>
      </c>
      <c r="K52" s="85">
        <f>SUM(H52:J52)</f>
        <v>315491.25</v>
      </c>
      <c r="L52" s="5"/>
      <c r="M52"/>
      <c r="N52"/>
      <c r="O52" s="74" t="s">
        <v>66</v>
      </c>
      <c r="P52" s="74"/>
      <c r="Q52" s="6"/>
      <c r="R52" s="6"/>
      <c r="S52"/>
      <c r="T52"/>
      <c r="U52" s="5">
        <f>E51</f>
        <v>3107180.71</v>
      </c>
      <c r="V52" s="73" t="s">
        <v>67</v>
      </c>
      <c r="W52"/>
    </row>
    <row r="53" spans="1:23" x14ac:dyDescent="0.3">
      <c r="A53" s="82" t="s">
        <v>57</v>
      </c>
      <c r="B53" s="83">
        <v>2883114.5</v>
      </c>
      <c r="C53" s="83">
        <v>688685.51</v>
      </c>
      <c r="D53" s="83">
        <v>674176.45</v>
      </c>
      <c r="E53" s="85">
        <f>SUM(B53:D53)</f>
        <v>4245976.46</v>
      </c>
      <c r="F53" s="5"/>
      <c r="G53" s="82" t="s">
        <v>57</v>
      </c>
      <c r="H53" s="83">
        <f>R30+S30+U30</f>
        <v>3571800</v>
      </c>
      <c r="I53" s="83"/>
      <c r="J53" s="83">
        <f>R32+S32</f>
        <v>674176.45</v>
      </c>
      <c r="K53" s="85">
        <f>SUM(H53:J53)</f>
        <v>4245976.45</v>
      </c>
      <c r="L53" s="5"/>
      <c r="M53"/>
      <c r="N53"/>
      <c r="O53"/>
      <c r="P53"/>
      <c r="Q53" s="5"/>
      <c r="R53" s="5"/>
      <c r="S53"/>
      <c r="T53"/>
      <c r="U53" s="5">
        <v>1455962.24</v>
      </c>
      <c r="V53" s="73" t="s">
        <v>68</v>
      </c>
      <c r="W53"/>
    </row>
    <row r="54" spans="1:23" x14ac:dyDescent="0.3">
      <c r="A54" s="87" t="s">
        <v>56</v>
      </c>
      <c r="B54" s="88">
        <f>SUM(B52:B53)</f>
        <v>2988598</v>
      </c>
      <c r="C54" s="88">
        <f>SUM(C52:C53)</f>
        <v>749164.51</v>
      </c>
      <c r="D54" s="88">
        <f>SUM(D52:D53)</f>
        <v>823705.2</v>
      </c>
      <c r="E54" s="89">
        <f>SUM(B54:D54)</f>
        <v>4561467.71</v>
      </c>
      <c r="F54" s="6"/>
      <c r="G54" s="87" t="s">
        <v>56</v>
      </c>
      <c r="H54" s="88">
        <f>SUM(H52:H53)</f>
        <v>3737762.5</v>
      </c>
      <c r="I54" s="88"/>
      <c r="J54" s="88">
        <f>SUM(J52:J53)</f>
        <v>823705.2</v>
      </c>
      <c r="K54" s="89">
        <f>SUM(H54:J54)</f>
        <v>4561467.7</v>
      </c>
      <c r="L54" s="5"/>
      <c r="M54"/>
      <c r="N54"/>
      <c r="O54"/>
      <c r="P54"/>
      <c r="Q54" s="5"/>
      <c r="R54" s="5"/>
      <c r="S54"/>
      <c r="T54"/>
      <c r="U54" s="6">
        <v>0</v>
      </c>
      <c r="V54" s="75" t="s">
        <v>69</v>
      </c>
      <c r="W54"/>
    </row>
    <row r="55" spans="1:23" x14ac:dyDescent="0.3">
      <c r="A55" s="90" t="s">
        <v>70</v>
      </c>
      <c r="B55" s="91">
        <f>B54-B51</f>
        <v>1144593.5</v>
      </c>
      <c r="C55" s="91">
        <f t="shared" ref="C55:D55" si="37">C54-C51</f>
        <v>311368.5</v>
      </c>
      <c r="D55" s="91">
        <f t="shared" si="37"/>
        <v>-1675</v>
      </c>
      <c r="E55" s="92"/>
      <c r="F55"/>
      <c r="G55" s="90" t="s">
        <v>70</v>
      </c>
      <c r="H55" s="91">
        <f>H54-H51</f>
        <v>1455962</v>
      </c>
      <c r="I55" s="91"/>
      <c r="J55" s="91">
        <f t="shared" ref="J55" si="38">J54-J51</f>
        <v>-1675</v>
      </c>
      <c r="K55" s="92"/>
      <c r="L55" s="5"/>
      <c r="M55"/>
      <c r="N55"/>
      <c r="O55"/>
      <c r="P55"/>
      <c r="Q55"/>
      <c r="R55"/>
      <c r="S55"/>
      <c r="T55" s="74" t="s">
        <v>61</v>
      </c>
      <c r="U55" s="6">
        <f>SUM(U52:U54)</f>
        <v>4563142.95</v>
      </c>
      <c r="V55" s="4"/>
      <c r="W55"/>
    </row>
    <row r="56" spans="1:23" x14ac:dyDescent="0.3">
      <c r="A56" s="93" t="s">
        <v>71</v>
      </c>
      <c r="B56" s="94">
        <v>1144593.5</v>
      </c>
      <c r="C56" s="94">
        <v>311368.5</v>
      </c>
      <c r="D56" s="94">
        <v>0</v>
      </c>
      <c r="E56" s="92"/>
      <c r="F56" s="6"/>
      <c r="G56" s="93" t="s">
        <v>71</v>
      </c>
      <c r="H56" s="94">
        <f>T30+U30</f>
        <v>1455962</v>
      </c>
      <c r="I56" s="94"/>
      <c r="J56" s="94">
        <f>W32</f>
        <v>1675</v>
      </c>
      <c r="K56" s="92"/>
      <c r="L56"/>
      <c r="M56"/>
      <c r="N56"/>
      <c r="O56"/>
      <c r="P56"/>
      <c r="Q56"/>
      <c r="R56"/>
      <c r="S56"/>
      <c r="T56"/>
      <c r="U56" s="6">
        <f>U51-U55</f>
        <v>138226.02699999977</v>
      </c>
      <c r="V56" s="75" t="s">
        <v>72</v>
      </c>
      <c r="W56"/>
    </row>
    <row r="57" spans="1:23" x14ac:dyDescent="0.3">
      <c r="A57" s="82"/>
      <c r="B57" s="83">
        <f>B55-B56</f>
        <v>0</v>
      </c>
      <c r="C57" s="83">
        <f>C55-C56</f>
        <v>0</v>
      </c>
      <c r="D57" s="84">
        <v>1675</v>
      </c>
      <c r="E57" s="95" t="s">
        <v>74</v>
      </c>
      <c r="F57"/>
      <c r="G57" s="82"/>
      <c r="H57" s="83">
        <f>H55-H56</f>
        <v>0</v>
      </c>
      <c r="I57" s="83"/>
      <c r="J57" s="84">
        <v>1675</v>
      </c>
      <c r="K57" s="95" t="s">
        <v>74</v>
      </c>
      <c r="L57"/>
      <c r="M57"/>
      <c r="N57"/>
      <c r="O57"/>
      <c r="P57"/>
      <c r="Q57"/>
      <c r="R57"/>
      <c r="S57"/>
      <c r="T57"/>
      <c r="U57" s="5">
        <f>118523.5</f>
        <v>118523.5</v>
      </c>
      <c r="V57" s="75" t="s">
        <v>73</v>
      </c>
      <c r="W57"/>
    </row>
    <row r="58" spans="1:23" x14ac:dyDescent="0.3">
      <c r="A58" s="82"/>
      <c r="B58" s="83"/>
      <c r="C58" s="83"/>
      <c r="D58" s="84"/>
      <c r="E58" s="95"/>
      <c r="F58"/>
      <c r="G58" s="82"/>
      <c r="H58" s="83"/>
      <c r="I58" s="83"/>
      <c r="J58" s="84"/>
      <c r="K58" s="95"/>
      <c r="L58"/>
      <c r="M58"/>
      <c r="N58"/>
      <c r="O58"/>
      <c r="P58"/>
      <c r="Q58"/>
      <c r="R58"/>
      <c r="S58"/>
      <c r="T58"/>
      <c r="U58" s="5"/>
      <c r="V58" s="75" t="s">
        <v>77</v>
      </c>
      <c r="W58"/>
    </row>
    <row r="59" spans="1:23" x14ac:dyDescent="0.3">
      <c r="A59" s="82"/>
      <c r="B59" s="83"/>
      <c r="C59" s="83"/>
      <c r="D59" s="84"/>
      <c r="E59" s="95"/>
      <c r="F59"/>
      <c r="G59" s="82"/>
      <c r="H59" s="83"/>
      <c r="I59" s="83"/>
      <c r="J59" s="84"/>
      <c r="K59" s="95"/>
      <c r="L59"/>
      <c r="M59"/>
      <c r="N59"/>
      <c r="O59"/>
      <c r="P59"/>
      <c r="Q59"/>
      <c r="R59"/>
      <c r="S59"/>
      <c r="T59"/>
      <c r="U59" s="6">
        <f>U57-U58</f>
        <v>118523.5</v>
      </c>
      <c r="V59" s="75" t="s">
        <v>78</v>
      </c>
      <c r="W59"/>
    </row>
    <row r="60" spans="1:23" ht="15" thickBot="1" x14ac:dyDescent="0.35">
      <c r="A60" s="96"/>
      <c r="B60" s="97"/>
      <c r="C60" s="97"/>
      <c r="D60" s="97"/>
      <c r="E60" s="98"/>
      <c r="F60"/>
      <c r="G60" s="96"/>
      <c r="H60" s="97"/>
      <c r="I60" s="97"/>
      <c r="J60" s="97"/>
      <c r="K60" s="98"/>
      <c r="L60"/>
      <c r="M60"/>
      <c r="N60"/>
      <c r="O60"/>
      <c r="P60"/>
      <c r="Q60"/>
      <c r="R60"/>
      <c r="S60"/>
      <c r="T60" s="74" t="s">
        <v>72</v>
      </c>
      <c r="U60" s="5">
        <f>U56-U59</f>
        <v>19702.526999999769</v>
      </c>
      <c r="V60" s="4"/>
      <c r="W60"/>
    </row>
    <row r="61" spans="1:23" x14ac:dyDescent="0.3">
      <c r="A61" s="111"/>
      <c r="B61" s="84"/>
      <c r="C61" s="84"/>
      <c r="D61" s="84"/>
      <c r="E61" s="84"/>
      <c r="F61"/>
      <c r="G61" s="111"/>
      <c r="H61" s="84"/>
      <c r="I61" s="84"/>
      <c r="J61" s="84"/>
      <c r="K61" s="84"/>
      <c r="L61"/>
      <c r="M61"/>
      <c r="N61"/>
      <c r="O61"/>
      <c r="P61"/>
      <c r="Q61"/>
      <c r="R61"/>
      <c r="S61"/>
      <c r="T61" s="74"/>
      <c r="U61" s="5">
        <v>19702.5</v>
      </c>
      <c r="V61" s="4" t="s">
        <v>82</v>
      </c>
      <c r="W61"/>
    </row>
    <row r="62" spans="1:23" x14ac:dyDescent="0.3">
      <c r="A62" s="111"/>
      <c r="B62" s="84"/>
      <c r="C62" s="84"/>
      <c r="D62" s="84"/>
      <c r="E62" s="84"/>
      <c r="F62"/>
      <c r="G62" s="111"/>
      <c r="H62" s="84"/>
      <c r="I62" s="84"/>
      <c r="J62" s="84"/>
      <c r="K62" s="84"/>
      <c r="L62"/>
      <c r="M62"/>
      <c r="N62"/>
      <c r="O62"/>
      <c r="P62"/>
      <c r="Q62"/>
      <c r="R62"/>
      <c r="S62"/>
      <c r="T62" s="74"/>
      <c r="U62" s="5">
        <f>U60-U61</f>
        <v>2.6999999769032001E-2</v>
      </c>
      <c r="V62" s="4"/>
      <c r="W62"/>
    </row>
    <row r="63" spans="1:23" x14ac:dyDescent="0.3">
      <c r="A63" s="4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 s="5"/>
      <c r="V63" s="75"/>
      <c r="W63"/>
    </row>
    <row r="64" spans="1:23" x14ac:dyDescent="0.3">
      <c r="A64" s="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 s="5"/>
      <c r="V64" s="75"/>
      <c r="W64"/>
    </row>
  </sheetData>
  <mergeCells count="3">
    <mergeCell ref="T1:U1"/>
    <mergeCell ref="A46:E46"/>
    <mergeCell ref="G46:K4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topLeftCell="A19" workbookViewId="0">
      <selection activeCell="A29" sqref="A29:XFD29"/>
    </sheetView>
  </sheetViews>
  <sheetFormatPr defaultColWidth="8.88671875" defaultRowHeight="14.4" x14ac:dyDescent="0.3"/>
  <cols>
    <col min="1" max="1" width="12.109375" style="54" bestFit="1" customWidth="1"/>
    <col min="2" max="2" width="12.33203125" style="43" bestFit="1" customWidth="1"/>
    <col min="3" max="3" width="11.5546875" style="43" bestFit="1" customWidth="1"/>
    <col min="4" max="4" width="11" style="43" bestFit="1" customWidth="1"/>
    <col min="5" max="5" width="15.109375" style="43" bestFit="1" customWidth="1"/>
    <col min="6" max="6" width="13.109375" style="43" bestFit="1" customWidth="1"/>
    <col min="7" max="7" width="12.109375" style="43" bestFit="1" customWidth="1"/>
    <col min="8" max="8" width="12.33203125" style="43" bestFit="1" customWidth="1"/>
    <col min="9" max="9" width="10" style="43" bestFit="1" customWidth="1"/>
    <col min="10" max="10" width="11.6640625" style="43" bestFit="1" customWidth="1"/>
    <col min="11" max="11" width="11.88671875" style="43" bestFit="1" customWidth="1"/>
    <col min="12" max="12" width="10" style="43" bestFit="1" customWidth="1"/>
    <col min="13" max="13" width="9" style="43" bestFit="1" customWidth="1"/>
    <col min="14" max="14" width="10.109375" style="43" bestFit="1" customWidth="1"/>
    <col min="15" max="15" width="10.33203125" style="43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0" style="43" bestFit="1" customWidth="1"/>
    <col min="21" max="21" width="12.5546875" style="43" bestFit="1" customWidth="1"/>
    <col min="22" max="22" width="16.6640625" style="54" bestFit="1" customWidth="1"/>
    <col min="23" max="16384" width="8.88671875" style="43"/>
  </cols>
  <sheetData>
    <row r="1" spans="1:22" x14ac:dyDescent="0.3">
      <c r="A1" s="112" t="s">
        <v>0</v>
      </c>
      <c r="B1" s="41" t="s">
        <v>1</v>
      </c>
      <c r="C1" s="41"/>
      <c r="D1" s="41"/>
      <c r="E1" s="41" t="s">
        <v>2</v>
      </c>
      <c r="F1" s="41"/>
      <c r="G1" s="41"/>
      <c r="H1" s="112" t="s">
        <v>3</v>
      </c>
      <c r="I1" s="41"/>
      <c r="J1" s="41"/>
      <c r="K1" s="112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40" t="s">
        <v>8</v>
      </c>
      <c r="U1" s="141"/>
      <c r="V1" s="112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12"/>
      <c r="R2" s="112"/>
      <c r="S2" s="112"/>
      <c r="T2" s="112" t="s">
        <v>6</v>
      </c>
      <c r="U2" s="113" t="s">
        <v>9</v>
      </c>
      <c r="V2" s="44"/>
    </row>
    <row r="3" spans="1:22" x14ac:dyDescent="0.3">
      <c r="A3" s="47">
        <v>45962</v>
      </c>
      <c r="B3" s="11">
        <f>33995+7425+24050</f>
        <v>65470</v>
      </c>
      <c r="C3" s="48">
        <f>B3/1.1</f>
        <v>59518.181818181816</v>
      </c>
      <c r="D3" s="48">
        <f>C3*0.1</f>
        <v>5951.818181818182</v>
      </c>
      <c r="E3" s="11">
        <f>13425+3930+8660</f>
        <v>26015</v>
      </c>
      <c r="F3" s="48">
        <f>E3/1.2</f>
        <v>21679.166666666668</v>
      </c>
      <c r="G3" s="48">
        <f>F3*0.2</f>
        <v>4335.8333333333339</v>
      </c>
      <c r="H3" s="11">
        <f>630+225+920</f>
        <v>1775</v>
      </c>
      <c r="I3" s="48">
        <f>H3/1.1</f>
        <v>1613.6363636363635</v>
      </c>
      <c r="J3" s="48">
        <f>I3*0.1</f>
        <v>161.36363636363637</v>
      </c>
      <c r="K3" s="11">
        <f>4100+400+2400</f>
        <v>6900</v>
      </c>
      <c r="L3" s="48">
        <f>K3/1.2</f>
        <v>5750</v>
      </c>
      <c r="M3" s="48">
        <f>L3*0.2</f>
        <v>1150</v>
      </c>
      <c r="N3" s="11">
        <f>4272.5+612.5+3363</f>
        <v>8248</v>
      </c>
      <c r="O3" s="48">
        <f>N3/1.2</f>
        <v>6873.3333333333339</v>
      </c>
      <c r="P3" s="48">
        <f>O3*0.2</f>
        <v>1374.666666666667</v>
      </c>
      <c r="Q3" s="11">
        <f>6225+5455</f>
        <v>11680</v>
      </c>
      <c r="R3" s="11">
        <f>50197.5+39393</f>
        <v>89590.5</v>
      </c>
      <c r="S3" s="11">
        <v>7137.5</v>
      </c>
      <c r="T3" s="48">
        <v>6400</v>
      </c>
      <c r="U3" s="49">
        <f>30011+27925</f>
        <v>57936</v>
      </c>
      <c r="V3" s="44"/>
    </row>
    <row r="4" spans="1:22" ht="16.95" customHeight="1" x14ac:dyDescent="0.3">
      <c r="A4" s="47">
        <v>45963</v>
      </c>
      <c r="B4" s="11">
        <f>54430</f>
        <v>54430</v>
      </c>
      <c r="C4" s="48">
        <f t="shared" ref="C4:C25" si="0">B4/1.1</f>
        <v>49481.818181818177</v>
      </c>
      <c r="D4" s="48">
        <f t="shared" ref="D4:D25" si="1">C4*0.1</f>
        <v>4948.181818181818</v>
      </c>
      <c r="E4" s="11">
        <v>11230</v>
      </c>
      <c r="F4" s="48">
        <f t="shared" ref="F4:F29" si="2">E4/1.2</f>
        <v>9358.3333333333339</v>
      </c>
      <c r="G4" s="48">
        <f t="shared" ref="G4:G25" si="3">F4*0.2</f>
        <v>1871.666666666667</v>
      </c>
      <c r="H4" s="11">
        <v>600</v>
      </c>
      <c r="I4" s="48">
        <f t="shared" ref="I4:I29" si="4">H4/1.1</f>
        <v>545.45454545454538</v>
      </c>
      <c r="J4" s="48">
        <f t="shared" ref="J4:J25" si="5">I4*0.1</f>
        <v>54.54545454545454</v>
      </c>
      <c r="K4" s="11">
        <v>3700</v>
      </c>
      <c r="L4" s="48">
        <f t="shared" ref="L4:L29" si="6">K4/1.2</f>
        <v>3083.3333333333335</v>
      </c>
      <c r="M4" s="48">
        <f t="shared" ref="M4:M25" si="7">L4*0.2</f>
        <v>616.66666666666674</v>
      </c>
      <c r="N4" s="11">
        <v>4130.5</v>
      </c>
      <c r="O4" s="48">
        <f t="shared" ref="O4:O29" si="8">N4/1.2</f>
        <v>3442.0833333333335</v>
      </c>
      <c r="P4" s="48">
        <f t="shared" ref="P4:P25" si="9">O4*0.2</f>
        <v>688.41666666666674</v>
      </c>
      <c r="Q4" s="11">
        <v>7160</v>
      </c>
      <c r="R4" s="11">
        <v>66930.5</v>
      </c>
      <c r="S4" s="48">
        <v>0</v>
      </c>
      <c r="T4" s="114">
        <v>0</v>
      </c>
      <c r="U4" s="48">
        <v>67850</v>
      </c>
      <c r="V4" s="50"/>
    </row>
    <row r="5" spans="1:22" x14ac:dyDescent="0.3">
      <c r="A5" s="47">
        <v>45965</v>
      </c>
      <c r="B5" s="11">
        <f>6300+15475</f>
        <v>21775</v>
      </c>
      <c r="C5" s="48">
        <f t="shared" si="0"/>
        <v>19795.454545454544</v>
      </c>
      <c r="D5" s="48">
        <f t="shared" si="1"/>
        <v>1979.5454545454545</v>
      </c>
      <c r="E5" s="11">
        <f>7405+4065</f>
        <v>11470</v>
      </c>
      <c r="F5" s="48">
        <f t="shared" si="2"/>
        <v>9558.3333333333339</v>
      </c>
      <c r="G5" s="48">
        <f t="shared" si="3"/>
        <v>1911.666666666667</v>
      </c>
      <c r="H5" s="11">
        <f>575</f>
        <v>575</v>
      </c>
      <c r="I5" s="48">
        <f t="shared" si="4"/>
        <v>522.72727272727263</v>
      </c>
      <c r="J5" s="48">
        <f t="shared" si="5"/>
        <v>52.272727272727266</v>
      </c>
      <c r="K5" s="11">
        <f>800+1200</f>
        <v>2000</v>
      </c>
      <c r="L5" s="48">
        <f t="shared" si="6"/>
        <v>1666.6666666666667</v>
      </c>
      <c r="M5" s="48">
        <f t="shared" si="7"/>
        <v>333.33333333333337</v>
      </c>
      <c r="N5" s="11">
        <f>655+1954</f>
        <v>2609</v>
      </c>
      <c r="O5" s="48">
        <f t="shared" si="8"/>
        <v>2174.166666666667</v>
      </c>
      <c r="P5" s="48">
        <f t="shared" si="9"/>
        <v>434.83333333333343</v>
      </c>
      <c r="Q5" s="48">
        <v>0</v>
      </c>
      <c r="R5" s="11">
        <f>15735-8130+22694-8045</f>
        <v>22254</v>
      </c>
      <c r="S5" s="11">
        <f>8130+8045</f>
        <v>16175</v>
      </c>
      <c r="T5" s="48">
        <v>0</v>
      </c>
      <c r="U5" s="49">
        <v>23502.5</v>
      </c>
      <c r="V5" s="44"/>
    </row>
    <row r="6" spans="1:22" x14ac:dyDescent="0.3">
      <c r="A6" s="47">
        <v>45966</v>
      </c>
      <c r="B6" s="11">
        <f>24545+4335.18</f>
        <v>28880.18</v>
      </c>
      <c r="C6" s="48">
        <f t="shared" si="0"/>
        <v>26254.709090909088</v>
      </c>
      <c r="D6" s="48">
        <f t="shared" si="1"/>
        <v>2625.4709090909091</v>
      </c>
      <c r="E6" s="11">
        <f>6225+5989.82</f>
        <v>12214.82</v>
      </c>
      <c r="F6" s="48">
        <f t="shared" si="2"/>
        <v>10179.016666666666</v>
      </c>
      <c r="G6" s="48">
        <f t="shared" si="3"/>
        <v>2035.8033333333333</v>
      </c>
      <c r="H6" s="11">
        <f>230</f>
        <v>230</v>
      </c>
      <c r="I6" s="48">
        <f t="shared" si="4"/>
        <v>209.09090909090907</v>
      </c>
      <c r="J6" s="48">
        <f t="shared" si="5"/>
        <v>20.909090909090907</v>
      </c>
      <c r="K6" s="11">
        <f>2000+400</f>
        <v>2400</v>
      </c>
      <c r="L6" s="48">
        <f t="shared" si="6"/>
        <v>2000</v>
      </c>
      <c r="M6" s="48">
        <f t="shared" si="7"/>
        <v>400</v>
      </c>
      <c r="N6" s="11">
        <f>2590+632.5</f>
        <v>3222.5</v>
      </c>
      <c r="O6" s="48">
        <f t="shared" si="8"/>
        <v>2685.416666666667</v>
      </c>
      <c r="P6" s="48">
        <f t="shared" si="9"/>
        <v>537.08333333333337</v>
      </c>
      <c r="Q6" s="11">
        <f>5500</f>
        <v>5500</v>
      </c>
      <c r="R6" s="11">
        <f>30090+11357.5</f>
        <v>41447.5</v>
      </c>
      <c r="S6" s="48">
        <v>0</v>
      </c>
      <c r="T6" s="48"/>
      <c r="U6" s="49">
        <f>46610+12000</f>
        <v>58610</v>
      </c>
      <c r="V6" s="44"/>
    </row>
    <row r="7" spans="1:22" x14ac:dyDescent="0.3">
      <c r="A7" s="47">
        <v>45967</v>
      </c>
      <c r="B7" s="11">
        <f>35775</f>
        <v>35775</v>
      </c>
      <c r="C7" s="48">
        <f t="shared" si="0"/>
        <v>32522.727272727268</v>
      </c>
      <c r="D7" s="48">
        <f t="shared" si="1"/>
        <v>3252.272727272727</v>
      </c>
      <c r="E7" s="11">
        <f>2790+12175</f>
        <v>14965</v>
      </c>
      <c r="F7" s="48">
        <f t="shared" si="2"/>
        <v>12470.833333333334</v>
      </c>
      <c r="G7" s="48">
        <f t="shared" si="3"/>
        <v>2494.166666666667</v>
      </c>
      <c r="H7" s="11">
        <v>835</v>
      </c>
      <c r="I7" s="48">
        <f t="shared" si="4"/>
        <v>759.09090909090901</v>
      </c>
      <c r="J7" s="48">
        <f t="shared" si="5"/>
        <v>75.909090909090907</v>
      </c>
      <c r="K7" s="11">
        <f>4000</f>
        <v>4000</v>
      </c>
      <c r="L7" s="48">
        <f t="shared" si="6"/>
        <v>3333.3333333333335</v>
      </c>
      <c r="M7" s="48">
        <f t="shared" si="7"/>
        <v>666.66666666666674</v>
      </c>
      <c r="N7" s="11">
        <f>279+4938.5</f>
        <v>5217.5</v>
      </c>
      <c r="O7" s="48">
        <f t="shared" si="8"/>
        <v>4347.916666666667</v>
      </c>
      <c r="P7" s="48">
        <f t="shared" si="9"/>
        <v>869.58333333333348</v>
      </c>
      <c r="Q7" s="48">
        <v>0</v>
      </c>
      <c r="R7" s="11">
        <f>3069+57723.5</f>
        <v>60792.5</v>
      </c>
      <c r="S7" s="48">
        <v>0</v>
      </c>
      <c r="T7" s="48">
        <v>0</v>
      </c>
      <c r="U7" s="49">
        <v>59422</v>
      </c>
      <c r="V7" s="44"/>
    </row>
    <row r="8" spans="1:22" x14ac:dyDescent="0.3">
      <c r="A8" s="47">
        <v>45968</v>
      </c>
      <c r="B8" s="11">
        <f>18400+2770+16275</f>
        <v>37445</v>
      </c>
      <c r="C8" s="48">
        <f t="shared" si="0"/>
        <v>34040.909090909088</v>
      </c>
      <c r="D8" s="48">
        <f t="shared" si="1"/>
        <v>3404.090909090909</v>
      </c>
      <c r="E8" s="11">
        <f>5710+3800+1890</f>
        <v>11400</v>
      </c>
      <c r="F8" s="48">
        <f t="shared" si="2"/>
        <v>9500</v>
      </c>
      <c r="G8" s="48">
        <f t="shared" si="3"/>
        <v>1900</v>
      </c>
      <c r="H8" s="11">
        <f>230+585</f>
        <v>815</v>
      </c>
      <c r="I8" s="48">
        <f t="shared" si="4"/>
        <v>740.90909090909088</v>
      </c>
      <c r="J8" s="48">
        <f t="shared" si="5"/>
        <v>74.090909090909093</v>
      </c>
      <c r="K8" s="11">
        <f>2200+400+1600</f>
        <v>4200</v>
      </c>
      <c r="L8" s="48">
        <f t="shared" si="6"/>
        <v>3500</v>
      </c>
      <c r="M8" s="48">
        <f t="shared" si="7"/>
        <v>700</v>
      </c>
      <c r="N8" s="11">
        <f>2216+1875</f>
        <v>4091</v>
      </c>
      <c r="O8" s="48">
        <f t="shared" si="8"/>
        <v>3409.166666666667</v>
      </c>
      <c r="P8" s="48">
        <f t="shared" si="9"/>
        <v>681.83333333333348</v>
      </c>
      <c r="Q8" s="11">
        <f>2580+5145</f>
        <v>7725</v>
      </c>
      <c r="R8" s="11">
        <f>26176+1825+22225-3590</f>
        <v>46636</v>
      </c>
      <c r="S8" s="11">
        <v>3590</v>
      </c>
      <c r="T8" s="48">
        <v>0</v>
      </c>
      <c r="U8" s="49">
        <f>10747.5+69606</f>
        <v>80353.5</v>
      </c>
      <c r="V8" s="44"/>
    </row>
    <row r="9" spans="1:22" x14ac:dyDescent="0.3">
      <c r="A9" s="47">
        <v>45969</v>
      </c>
      <c r="B9" s="11">
        <f>63475+22900+250</f>
        <v>86625</v>
      </c>
      <c r="C9" s="48">
        <f t="shared" si="0"/>
        <v>78750</v>
      </c>
      <c r="D9" s="48">
        <f t="shared" si="1"/>
        <v>7875</v>
      </c>
      <c r="E9" s="11">
        <f>15490+5710+4125</f>
        <v>25325</v>
      </c>
      <c r="F9" s="48">
        <f t="shared" si="2"/>
        <v>21104.166666666668</v>
      </c>
      <c r="G9" s="48">
        <f t="shared" si="3"/>
        <v>4220.8333333333339</v>
      </c>
      <c r="H9" s="11">
        <f>2220+90+135</f>
        <v>2445</v>
      </c>
      <c r="I9" s="48">
        <f t="shared" si="4"/>
        <v>2222.7272727272725</v>
      </c>
      <c r="J9" s="48">
        <f t="shared" si="5"/>
        <v>222.27272727272725</v>
      </c>
      <c r="K9" s="11">
        <f>7600+2500+400</f>
        <v>10500</v>
      </c>
      <c r="L9" s="48">
        <f t="shared" si="6"/>
        <v>8750</v>
      </c>
      <c r="M9" s="48">
        <f t="shared" si="7"/>
        <v>1750</v>
      </c>
      <c r="N9" s="11">
        <f>8079+2520+491</f>
        <v>11090</v>
      </c>
      <c r="O9" s="48">
        <f t="shared" si="8"/>
        <v>9241.6666666666679</v>
      </c>
      <c r="P9" s="48">
        <f t="shared" si="9"/>
        <v>1848.3333333333337</v>
      </c>
      <c r="Q9" s="48">
        <f>0</f>
        <v>0</v>
      </c>
      <c r="R9" s="11">
        <f>96864-7412.5+33720-10382.5+5401</f>
        <v>118190</v>
      </c>
      <c r="S9" s="11">
        <f>7412.5+10382.5</f>
        <v>17795</v>
      </c>
      <c r="T9" s="48">
        <v>0</v>
      </c>
      <c r="U9" s="49">
        <f>32391+28911</f>
        <v>61302</v>
      </c>
      <c r="V9" s="44"/>
    </row>
    <row r="10" spans="1:22" x14ac:dyDescent="0.3">
      <c r="A10" s="47">
        <v>45970</v>
      </c>
      <c r="B10" s="11">
        <f>10480+93060</f>
        <v>103540</v>
      </c>
      <c r="C10" s="48">
        <f t="shared" si="0"/>
        <v>94127.272727272721</v>
      </c>
      <c r="D10" s="48">
        <f t="shared" si="1"/>
        <v>9412.7272727272721</v>
      </c>
      <c r="E10" s="11">
        <f>11400</f>
        <v>11400</v>
      </c>
      <c r="F10" s="48">
        <f t="shared" si="2"/>
        <v>9500</v>
      </c>
      <c r="G10" s="48">
        <f t="shared" si="3"/>
        <v>1900</v>
      </c>
      <c r="H10" s="11">
        <f>925+3535</f>
        <v>4460</v>
      </c>
      <c r="I10" s="48">
        <f t="shared" si="4"/>
        <v>4054.545454545454</v>
      </c>
      <c r="J10" s="48">
        <f t="shared" si="5"/>
        <v>405.45454545454544</v>
      </c>
      <c r="K10" s="11">
        <f>400+5900</f>
        <v>6300</v>
      </c>
      <c r="L10" s="48">
        <f t="shared" si="6"/>
        <v>5250</v>
      </c>
      <c r="M10" s="48">
        <f t="shared" si="7"/>
        <v>1050</v>
      </c>
      <c r="N10" s="11">
        <f>327.5+4743.5</f>
        <v>5071</v>
      </c>
      <c r="O10" s="48">
        <f t="shared" si="8"/>
        <v>4225.8333333333339</v>
      </c>
      <c r="P10" s="48">
        <f t="shared" si="9"/>
        <v>845.16666666666686</v>
      </c>
      <c r="Q10" s="11">
        <v>10060</v>
      </c>
      <c r="R10" s="11">
        <f>12132.5+108578.5-7160</f>
        <v>113551</v>
      </c>
      <c r="S10" s="11">
        <v>7160</v>
      </c>
      <c r="T10" s="48">
        <v>1790</v>
      </c>
      <c r="U10" s="49">
        <f>12322.5+22540</f>
        <v>34862.5</v>
      </c>
      <c r="V10" s="44"/>
    </row>
    <row r="11" spans="1:22" x14ac:dyDescent="0.3">
      <c r="A11" s="47">
        <v>45972</v>
      </c>
      <c r="B11" s="11">
        <f>10050+26725</f>
        <v>36775</v>
      </c>
      <c r="C11" s="48">
        <f t="shared" si="0"/>
        <v>33431.818181818177</v>
      </c>
      <c r="D11" s="48">
        <f t="shared" si="1"/>
        <v>3343.181818181818</v>
      </c>
      <c r="E11" s="11">
        <f>2800+2290</f>
        <v>5090</v>
      </c>
      <c r="F11" s="48">
        <f t="shared" si="2"/>
        <v>4241.666666666667</v>
      </c>
      <c r="G11" s="48">
        <f t="shared" si="3"/>
        <v>848.33333333333348</v>
      </c>
      <c r="H11" s="11">
        <f>270+3385</f>
        <v>3655</v>
      </c>
      <c r="I11" s="48">
        <f t="shared" si="4"/>
        <v>3322.7272727272725</v>
      </c>
      <c r="J11" s="48">
        <f t="shared" si="5"/>
        <v>332.27272727272725</v>
      </c>
      <c r="K11" s="11">
        <f>1200+3200</f>
        <v>4400</v>
      </c>
      <c r="L11" s="48">
        <f t="shared" si="6"/>
        <v>3666.666666666667</v>
      </c>
      <c r="M11" s="48">
        <f t="shared" si="7"/>
        <v>733.33333333333348</v>
      </c>
      <c r="N11" s="11">
        <f>1312+3240</f>
        <v>4552</v>
      </c>
      <c r="O11" s="48">
        <f t="shared" si="8"/>
        <v>3793.3333333333335</v>
      </c>
      <c r="P11" s="48">
        <f t="shared" si="9"/>
        <v>758.66666666666674</v>
      </c>
      <c r="Q11" s="11">
        <v>500</v>
      </c>
      <c r="R11" s="11">
        <f>15632+38340</f>
        <v>53972</v>
      </c>
      <c r="S11" s="48">
        <v>0</v>
      </c>
      <c r="T11" s="48">
        <v>0</v>
      </c>
      <c r="U11" s="49">
        <v>0</v>
      </c>
      <c r="V11" s="44"/>
    </row>
    <row r="12" spans="1:22" ht="13.95" customHeight="1" x14ac:dyDescent="0.3">
      <c r="A12" s="47">
        <v>45973</v>
      </c>
      <c r="B12" s="11">
        <f>3925+1600+31125+5700</f>
        <v>42350</v>
      </c>
      <c r="C12" s="48">
        <f t="shared" si="0"/>
        <v>38500</v>
      </c>
      <c r="D12" s="48">
        <f t="shared" si="1"/>
        <v>3850</v>
      </c>
      <c r="E12" s="11">
        <f>3140+2800+14705+2715</f>
        <v>23360</v>
      </c>
      <c r="F12" s="48">
        <f t="shared" si="2"/>
        <v>19466.666666666668</v>
      </c>
      <c r="G12" s="48">
        <f t="shared" si="3"/>
        <v>3893.3333333333339</v>
      </c>
      <c r="H12" s="11">
        <f>830</f>
        <v>830</v>
      </c>
      <c r="I12" s="48">
        <f t="shared" si="4"/>
        <v>754.5454545454545</v>
      </c>
      <c r="J12" s="48">
        <f t="shared" si="5"/>
        <v>75.454545454545453</v>
      </c>
      <c r="K12" s="11">
        <f>400+800+5200+400</f>
        <v>6800</v>
      </c>
      <c r="L12" s="48">
        <f t="shared" si="6"/>
        <v>5666.666666666667</v>
      </c>
      <c r="M12" s="48">
        <f t="shared" si="7"/>
        <v>1133.3333333333335</v>
      </c>
      <c r="N12" s="11">
        <f>706.5+520+4521+841.5</f>
        <v>6589</v>
      </c>
      <c r="O12" s="48">
        <f t="shared" si="8"/>
        <v>5490.8333333333339</v>
      </c>
      <c r="P12" s="48">
        <f t="shared" si="9"/>
        <v>1098.1666666666667</v>
      </c>
      <c r="Q12" s="48">
        <f>0</f>
        <v>0</v>
      </c>
      <c r="R12" s="11">
        <f>8171.5+5720+56381-2941+9656.5</f>
        <v>76988</v>
      </c>
      <c r="S12" s="11">
        <f>2941</f>
        <v>2941</v>
      </c>
      <c r="T12" s="48">
        <v>0</v>
      </c>
      <c r="U12" s="49">
        <f>11350+10712.5</f>
        <v>22062.5</v>
      </c>
      <c r="V12" s="44"/>
    </row>
    <row r="13" spans="1:22" x14ac:dyDescent="0.3">
      <c r="A13" s="47">
        <v>45974</v>
      </c>
      <c r="B13" s="11">
        <f>4025+12400</f>
        <v>16425</v>
      </c>
      <c r="C13" s="48">
        <f t="shared" si="0"/>
        <v>14931.81818181818</v>
      </c>
      <c r="D13" s="48">
        <f t="shared" si="1"/>
        <v>1493.181818181818</v>
      </c>
      <c r="E13" s="11">
        <f>1375+2460</f>
        <v>3835</v>
      </c>
      <c r="F13" s="48">
        <f t="shared" si="2"/>
        <v>3195.8333333333335</v>
      </c>
      <c r="G13" s="48">
        <f t="shared" si="3"/>
        <v>639.16666666666674</v>
      </c>
      <c r="H13" s="48">
        <f>0</f>
        <v>0</v>
      </c>
      <c r="I13" s="48">
        <f t="shared" si="4"/>
        <v>0</v>
      </c>
      <c r="J13" s="48">
        <f t="shared" si="5"/>
        <v>0</v>
      </c>
      <c r="K13" s="11">
        <f>400+1600</f>
        <v>2000</v>
      </c>
      <c r="L13" s="48">
        <f t="shared" si="6"/>
        <v>1666.6666666666667</v>
      </c>
      <c r="M13" s="48">
        <f t="shared" si="7"/>
        <v>333.33333333333337</v>
      </c>
      <c r="N13" s="11">
        <f>540+1039.5</f>
        <v>1579.5</v>
      </c>
      <c r="O13" s="48">
        <f t="shared" si="8"/>
        <v>1316.25</v>
      </c>
      <c r="P13" s="48">
        <f t="shared" si="9"/>
        <v>263.25</v>
      </c>
      <c r="Q13" s="11">
        <f>4865</f>
        <v>4865</v>
      </c>
      <c r="R13" s="11">
        <f>6340+12634.5</f>
        <v>18974.5</v>
      </c>
      <c r="S13" s="48">
        <v>0</v>
      </c>
      <c r="T13" s="48">
        <v>2525</v>
      </c>
      <c r="U13" s="49">
        <v>6800</v>
      </c>
      <c r="V13" s="44"/>
    </row>
    <row r="14" spans="1:22" x14ac:dyDescent="0.3">
      <c r="A14" s="47">
        <v>45975</v>
      </c>
      <c r="B14" s="11">
        <f>11300+38620+9100</f>
        <v>59020</v>
      </c>
      <c r="C14" s="48">
        <f t="shared" si="0"/>
        <v>53654.545454545449</v>
      </c>
      <c r="D14" s="48">
        <f t="shared" si="1"/>
        <v>5365.454545454545</v>
      </c>
      <c r="E14" s="11">
        <f>7815+14635+2885</f>
        <v>25335</v>
      </c>
      <c r="F14" s="48">
        <f t="shared" si="2"/>
        <v>21112.5</v>
      </c>
      <c r="G14" s="48">
        <f t="shared" si="3"/>
        <v>4222.5</v>
      </c>
      <c r="H14" s="11">
        <f>115+960+470</f>
        <v>1545</v>
      </c>
      <c r="I14" s="48">
        <f t="shared" si="4"/>
        <v>1404.5454545454545</v>
      </c>
      <c r="J14" s="48">
        <f t="shared" si="5"/>
        <v>140.45454545454547</v>
      </c>
      <c r="K14" s="11">
        <f>1200+3400+1750</f>
        <v>6350</v>
      </c>
      <c r="L14" s="48">
        <f t="shared" si="6"/>
        <v>5291.666666666667</v>
      </c>
      <c r="M14" s="48">
        <f t="shared" si="7"/>
        <v>1058.3333333333335</v>
      </c>
      <c r="N14" s="11">
        <f>1923+4596.5+1320.5</f>
        <v>7840</v>
      </c>
      <c r="O14" s="48">
        <f t="shared" si="8"/>
        <v>6533.3333333333339</v>
      </c>
      <c r="P14" s="48">
        <f t="shared" si="9"/>
        <v>1306.666666666667</v>
      </c>
      <c r="Q14" s="48">
        <f>0</f>
        <v>0</v>
      </c>
      <c r="R14" s="11">
        <f>22353+62211.5+15525.5</f>
        <v>100090</v>
      </c>
      <c r="S14" s="48">
        <v>0</v>
      </c>
      <c r="T14" s="48">
        <v>0</v>
      </c>
      <c r="U14" s="49">
        <f>15838+24210+31806.5</f>
        <v>71854.5</v>
      </c>
      <c r="V14" s="44"/>
    </row>
    <row r="15" spans="1:22" x14ac:dyDescent="0.3">
      <c r="A15" s="47">
        <v>45976</v>
      </c>
      <c r="B15" s="11">
        <f>16050+11625+9125+4229.39</f>
        <v>41029.39</v>
      </c>
      <c r="C15" s="48">
        <f t="shared" si="0"/>
        <v>37299.44545454545</v>
      </c>
      <c r="D15" s="48">
        <f t="shared" si="1"/>
        <v>3729.9445454545453</v>
      </c>
      <c r="E15" s="11">
        <f>6120+8485+5075+4770.61</f>
        <v>24450.61</v>
      </c>
      <c r="F15" s="48">
        <f t="shared" si="2"/>
        <v>20375.508333333335</v>
      </c>
      <c r="G15" s="48">
        <f t="shared" si="3"/>
        <v>4075.1016666666674</v>
      </c>
      <c r="H15" s="11">
        <f>685+1725+470</f>
        <v>2880</v>
      </c>
      <c r="I15" s="48">
        <f t="shared" si="4"/>
        <v>2618.181818181818</v>
      </c>
      <c r="J15" s="48">
        <f t="shared" si="5"/>
        <v>261.81818181818181</v>
      </c>
      <c r="K15" s="11">
        <f>1400+2400+800</f>
        <v>4600</v>
      </c>
      <c r="L15" s="48">
        <f t="shared" si="6"/>
        <v>3833.3333333333335</v>
      </c>
      <c r="M15" s="48">
        <f t="shared" si="7"/>
        <v>766.66666666666674</v>
      </c>
      <c r="N15" s="11">
        <f>2285.5+1617+200+1467</f>
        <v>5569.5</v>
      </c>
      <c r="O15" s="48">
        <f t="shared" si="8"/>
        <v>4641.25</v>
      </c>
      <c r="P15" s="48">
        <f t="shared" si="9"/>
        <v>928.25</v>
      </c>
      <c r="Q15" s="11">
        <f>6865</f>
        <v>6865</v>
      </c>
      <c r="R15" s="11">
        <f>26540.5+19187-983.5+16937+9000</f>
        <v>70681</v>
      </c>
      <c r="S15" s="11">
        <v>983.5</v>
      </c>
      <c r="T15" s="48"/>
      <c r="U15" s="49">
        <v>47382.5</v>
      </c>
      <c r="V15" s="44"/>
    </row>
    <row r="16" spans="1:22" x14ac:dyDescent="0.3">
      <c r="A16" s="47">
        <v>45977</v>
      </c>
      <c r="B16" s="11">
        <f>4000+88280</f>
        <v>92280</v>
      </c>
      <c r="C16" s="48">
        <f t="shared" si="0"/>
        <v>83890.909090909088</v>
      </c>
      <c r="D16" s="48">
        <f t="shared" si="1"/>
        <v>8389.0909090909099</v>
      </c>
      <c r="E16" s="11">
        <f>5200+8445</f>
        <v>13645</v>
      </c>
      <c r="F16" s="48">
        <f t="shared" si="2"/>
        <v>11370.833333333334</v>
      </c>
      <c r="G16" s="48">
        <f t="shared" si="3"/>
        <v>2274.166666666667</v>
      </c>
      <c r="H16" s="11">
        <v>5590</v>
      </c>
      <c r="I16" s="48">
        <f t="shared" si="4"/>
        <v>5081.8181818181811</v>
      </c>
      <c r="J16" s="48">
        <f t="shared" si="5"/>
        <v>508.18181818181813</v>
      </c>
      <c r="K16" s="11">
        <v>2400</v>
      </c>
      <c r="L16" s="48">
        <f t="shared" si="6"/>
        <v>2000</v>
      </c>
      <c r="M16" s="48">
        <f t="shared" si="7"/>
        <v>400</v>
      </c>
      <c r="N16" s="11">
        <v>2659.5</v>
      </c>
      <c r="O16" s="48">
        <f t="shared" si="8"/>
        <v>2216.25</v>
      </c>
      <c r="P16" s="48">
        <f t="shared" si="9"/>
        <v>443.25</v>
      </c>
      <c r="Q16" s="11">
        <v>13315</v>
      </c>
      <c r="R16" s="11">
        <f>9200+94059.5-7770</f>
        <v>95489.5</v>
      </c>
      <c r="S16" s="11">
        <v>7770</v>
      </c>
      <c r="T16" s="48">
        <v>0</v>
      </c>
      <c r="U16" s="49">
        <v>0</v>
      </c>
      <c r="V16" s="44"/>
    </row>
    <row r="17" spans="1:23" x14ac:dyDescent="0.3">
      <c r="A17" s="47">
        <v>45979</v>
      </c>
      <c r="B17" s="11">
        <v>26000</v>
      </c>
      <c r="C17" s="48">
        <f t="shared" si="0"/>
        <v>23636.363636363636</v>
      </c>
      <c r="D17" s="48">
        <f t="shared" si="1"/>
        <v>2363.6363636363635</v>
      </c>
      <c r="E17" s="11">
        <v>11195</v>
      </c>
      <c r="F17" s="48">
        <f t="shared" si="2"/>
        <v>9329.1666666666679</v>
      </c>
      <c r="G17" s="48">
        <f t="shared" si="3"/>
        <v>1865.8333333333337</v>
      </c>
      <c r="H17" s="11">
        <v>470</v>
      </c>
      <c r="I17" s="48">
        <f t="shared" si="4"/>
        <v>427.27272727272725</v>
      </c>
      <c r="J17" s="48">
        <f t="shared" si="5"/>
        <v>42.727272727272727</v>
      </c>
      <c r="K17" s="11">
        <v>2400</v>
      </c>
      <c r="L17" s="48">
        <f t="shared" si="6"/>
        <v>2000</v>
      </c>
      <c r="M17" s="48">
        <f t="shared" si="7"/>
        <v>400</v>
      </c>
      <c r="N17" s="11">
        <v>3766.5</v>
      </c>
      <c r="O17" s="48">
        <f t="shared" si="8"/>
        <v>3138.75</v>
      </c>
      <c r="P17" s="48">
        <f t="shared" si="9"/>
        <v>627.75</v>
      </c>
      <c r="Q17" s="48">
        <v>0</v>
      </c>
      <c r="R17" s="11">
        <v>43831.5</v>
      </c>
      <c r="S17" s="48">
        <v>0</v>
      </c>
      <c r="T17" s="48">
        <v>0</v>
      </c>
      <c r="U17" s="49">
        <f>11497.5+10041.5</f>
        <v>21539</v>
      </c>
      <c r="V17" s="44"/>
    </row>
    <row r="18" spans="1:23" x14ac:dyDescent="0.3">
      <c r="A18" s="47">
        <v>45980</v>
      </c>
      <c r="B18" s="11">
        <f>10300+4750</f>
        <v>15050</v>
      </c>
      <c r="C18" s="48">
        <f t="shared" si="0"/>
        <v>13681.81818181818</v>
      </c>
      <c r="D18" s="48">
        <f t="shared" si="1"/>
        <v>1368.181818181818</v>
      </c>
      <c r="E18" s="11">
        <f>2380+1050+8000</f>
        <v>11430</v>
      </c>
      <c r="F18" s="48">
        <f t="shared" si="2"/>
        <v>9525</v>
      </c>
      <c r="G18" s="48">
        <f t="shared" si="3"/>
        <v>1905</v>
      </c>
      <c r="H18" s="48">
        <f>0</f>
        <v>0</v>
      </c>
      <c r="I18" s="48">
        <f t="shared" si="4"/>
        <v>0</v>
      </c>
      <c r="J18" s="48">
        <f t="shared" si="5"/>
        <v>0</v>
      </c>
      <c r="K18" s="11">
        <f>800+400</f>
        <v>1200</v>
      </c>
      <c r="L18" s="48">
        <f t="shared" si="6"/>
        <v>1000</v>
      </c>
      <c r="M18" s="48">
        <f t="shared" si="7"/>
        <v>200</v>
      </c>
      <c r="N18" s="11">
        <f>1718+580</f>
        <v>2298</v>
      </c>
      <c r="O18" s="48">
        <f t="shared" si="8"/>
        <v>1915</v>
      </c>
      <c r="P18" s="48">
        <f t="shared" si="9"/>
        <v>383</v>
      </c>
      <c r="Q18" s="48">
        <f>0</f>
        <v>0</v>
      </c>
      <c r="R18" s="11">
        <f>15198+6780+8000</f>
        <v>29978</v>
      </c>
      <c r="S18" s="48">
        <v>0</v>
      </c>
      <c r="T18" s="48">
        <v>3653.5</v>
      </c>
      <c r="U18" s="49">
        <f>165945+6736+12637.5+28000</f>
        <v>213318.5</v>
      </c>
      <c r="V18" s="44"/>
    </row>
    <row r="19" spans="1:23" x14ac:dyDescent="0.3">
      <c r="A19" s="47">
        <v>45981</v>
      </c>
      <c r="B19" s="11">
        <f>1775+32275</f>
        <v>34050</v>
      </c>
      <c r="C19" s="48">
        <f t="shared" si="0"/>
        <v>30954.545454545452</v>
      </c>
      <c r="D19" s="48">
        <f t="shared" si="1"/>
        <v>3095.4545454545455</v>
      </c>
      <c r="E19" s="11">
        <f>1150+11740</f>
        <v>12890</v>
      </c>
      <c r="F19" s="48">
        <f t="shared" si="2"/>
        <v>10741.666666666668</v>
      </c>
      <c r="G19" s="48">
        <f t="shared" si="3"/>
        <v>2148.3333333333335</v>
      </c>
      <c r="H19" s="11">
        <f>1230</f>
        <v>1230</v>
      </c>
      <c r="I19" s="48">
        <f t="shared" si="4"/>
        <v>1118.181818181818</v>
      </c>
      <c r="J19" s="48">
        <f t="shared" si="5"/>
        <v>111.81818181818181</v>
      </c>
      <c r="K19" s="11">
        <f>400+3200</f>
        <v>3600</v>
      </c>
      <c r="L19" s="48">
        <f t="shared" si="6"/>
        <v>3000</v>
      </c>
      <c r="M19" s="48">
        <f t="shared" si="7"/>
        <v>600</v>
      </c>
      <c r="N19" s="11">
        <f>292.5+4524.5</f>
        <v>4817</v>
      </c>
      <c r="O19" s="48">
        <f t="shared" si="8"/>
        <v>4014.166666666667</v>
      </c>
      <c r="P19" s="48">
        <f t="shared" si="9"/>
        <v>802.83333333333348</v>
      </c>
      <c r="Q19" s="48">
        <f>0</f>
        <v>0</v>
      </c>
      <c r="R19" s="11">
        <f>3617.5+52969.5-13143.5</f>
        <v>43443.5</v>
      </c>
      <c r="S19" s="11">
        <v>13143.5</v>
      </c>
      <c r="T19" s="48">
        <v>0</v>
      </c>
      <c r="U19" s="49">
        <v>23086</v>
      </c>
      <c r="V19" s="44"/>
    </row>
    <row r="20" spans="1:23" x14ac:dyDescent="0.3">
      <c r="A20" s="47">
        <v>45982</v>
      </c>
      <c r="B20" s="11">
        <f>39825+5200</f>
        <v>45025</v>
      </c>
      <c r="C20" s="48">
        <f t="shared" si="0"/>
        <v>40931.818181818177</v>
      </c>
      <c r="D20" s="48">
        <f t="shared" si="1"/>
        <v>4093.181818181818</v>
      </c>
      <c r="E20" s="11">
        <v>6875</v>
      </c>
      <c r="F20" s="48">
        <f t="shared" si="2"/>
        <v>5729.166666666667</v>
      </c>
      <c r="G20" s="48">
        <f t="shared" si="3"/>
        <v>1145.8333333333335</v>
      </c>
      <c r="H20" s="11">
        <f>1725+300</f>
        <v>2025</v>
      </c>
      <c r="I20" s="48">
        <f t="shared" si="4"/>
        <v>1840.9090909090908</v>
      </c>
      <c r="J20" s="48">
        <f t="shared" si="5"/>
        <v>184.09090909090909</v>
      </c>
      <c r="K20" s="11">
        <v>4300</v>
      </c>
      <c r="L20" s="48">
        <f t="shared" si="6"/>
        <v>3583.3333333333335</v>
      </c>
      <c r="M20" s="48">
        <f t="shared" si="7"/>
        <v>716.66666666666674</v>
      </c>
      <c r="N20" s="11">
        <v>4892.5</v>
      </c>
      <c r="O20" s="48">
        <f t="shared" si="8"/>
        <v>4077.0833333333335</v>
      </c>
      <c r="P20" s="48">
        <f t="shared" si="9"/>
        <v>815.41666666666674</v>
      </c>
      <c r="Q20" s="48">
        <v>0</v>
      </c>
      <c r="R20" s="11">
        <f>57617.5+5500</f>
        <v>63117.5</v>
      </c>
      <c r="S20" s="48">
        <v>0</v>
      </c>
      <c r="T20" s="48">
        <v>0</v>
      </c>
      <c r="U20" s="49">
        <v>32018.5</v>
      </c>
      <c r="V20" s="44"/>
    </row>
    <row r="21" spans="1:23" x14ac:dyDescent="0.3">
      <c r="A21" s="47">
        <v>45983</v>
      </c>
      <c r="B21" s="11">
        <f>20725+36575+7800</f>
        <v>65100</v>
      </c>
      <c r="C21" s="48">
        <f t="shared" si="0"/>
        <v>59181.818181818177</v>
      </c>
      <c r="D21" s="48">
        <f t="shared" si="1"/>
        <v>5918.181818181818</v>
      </c>
      <c r="E21" s="11">
        <f>5985+12175+350</f>
        <v>18510</v>
      </c>
      <c r="F21" s="48">
        <f t="shared" si="2"/>
        <v>15425</v>
      </c>
      <c r="G21" s="48">
        <f t="shared" si="3"/>
        <v>3085</v>
      </c>
      <c r="H21" s="11">
        <f>575+1625</f>
        <v>2200</v>
      </c>
      <c r="I21" s="48">
        <f t="shared" si="4"/>
        <v>1999.9999999999998</v>
      </c>
      <c r="J21" s="48">
        <f t="shared" si="5"/>
        <v>200</v>
      </c>
      <c r="K21" s="11">
        <f>2400+4950+800</f>
        <v>8150</v>
      </c>
      <c r="L21" s="48">
        <f t="shared" si="6"/>
        <v>6791.666666666667</v>
      </c>
      <c r="M21" s="48">
        <f t="shared" si="7"/>
        <v>1358.3333333333335</v>
      </c>
      <c r="N21" s="11">
        <f>2548.5+5112.5+815</f>
        <v>8476</v>
      </c>
      <c r="O21" s="48">
        <f t="shared" si="8"/>
        <v>7063.3333333333339</v>
      </c>
      <c r="P21" s="48">
        <f t="shared" si="9"/>
        <v>1412.666666666667</v>
      </c>
      <c r="Q21" s="11">
        <f>2200</f>
        <v>2200</v>
      </c>
      <c r="R21" s="11">
        <f>30033.5-5597.5+60437.5+9765</f>
        <v>94638.5</v>
      </c>
      <c r="S21" s="11">
        <v>5597.5</v>
      </c>
      <c r="T21" s="48"/>
      <c r="U21" s="49">
        <v>57426.5</v>
      </c>
      <c r="V21" s="44"/>
    </row>
    <row r="22" spans="1:23" x14ac:dyDescent="0.3">
      <c r="A22" s="47">
        <v>45984</v>
      </c>
      <c r="B22" s="11">
        <f>24405+49170</f>
        <v>73575</v>
      </c>
      <c r="C22" s="48">
        <f t="shared" si="0"/>
        <v>66886.363636363632</v>
      </c>
      <c r="D22" s="48">
        <f t="shared" si="1"/>
        <v>6688.636363636364</v>
      </c>
      <c r="E22" s="11">
        <f>1765+6180</f>
        <v>7945</v>
      </c>
      <c r="F22" s="48">
        <f t="shared" si="2"/>
        <v>6620.8333333333339</v>
      </c>
      <c r="G22" s="48">
        <f t="shared" si="3"/>
        <v>1324.166666666667</v>
      </c>
      <c r="H22" s="11">
        <f>1005+2400</f>
        <v>3405</v>
      </c>
      <c r="I22" s="48">
        <f t="shared" si="4"/>
        <v>3095.454545454545</v>
      </c>
      <c r="J22" s="48">
        <f t="shared" si="5"/>
        <v>309.5454545454545</v>
      </c>
      <c r="K22" s="11">
        <f>1200+1700</f>
        <v>2900</v>
      </c>
      <c r="L22" s="48">
        <f t="shared" si="6"/>
        <v>2416.666666666667</v>
      </c>
      <c r="M22" s="48">
        <f t="shared" si="7"/>
        <v>483.33333333333343</v>
      </c>
      <c r="N22" s="11">
        <f>1960.5+2065.5</f>
        <v>4026</v>
      </c>
      <c r="O22" s="48">
        <f t="shared" si="8"/>
        <v>3355</v>
      </c>
      <c r="P22" s="48">
        <f t="shared" si="9"/>
        <v>671</v>
      </c>
      <c r="Q22" s="11">
        <f>9055</f>
        <v>9055</v>
      </c>
      <c r="R22" s="11">
        <f>30335.5+52460.5-2810</f>
        <v>79986</v>
      </c>
      <c r="S22" s="11">
        <v>2810</v>
      </c>
      <c r="T22" s="48">
        <v>0</v>
      </c>
      <c r="U22" s="49">
        <v>4975</v>
      </c>
      <c r="V22" s="44"/>
    </row>
    <row r="23" spans="1:23" x14ac:dyDescent="0.3">
      <c r="A23" s="47">
        <v>45986</v>
      </c>
      <c r="B23" s="11">
        <f>13950</f>
        <v>13950</v>
      </c>
      <c r="C23" s="48">
        <f t="shared" si="0"/>
        <v>12681.81818181818</v>
      </c>
      <c r="D23" s="48">
        <f t="shared" si="1"/>
        <v>1268.181818181818</v>
      </c>
      <c r="E23" s="11">
        <v>5190</v>
      </c>
      <c r="F23" s="48">
        <f t="shared" si="2"/>
        <v>4325</v>
      </c>
      <c r="G23" s="48">
        <f t="shared" si="3"/>
        <v>865</v>
      </c>
      <c r="H23" s="11">
        <v>200</v>
      </c>
      <c r="I23" s="48">
        <f t="shared" si="4"/>
        <v>181.81818181818181</v>
      </c>
      <c r="J23" s="48">
        <f t="shared" si="5"/>
        <v>18.181818181818183</v>
      </c>
      <c r="K23" s="11">
        <v>1600</v>
      </c>
      <c r="L23" s="48">
        <f t="shared" si="6"/>
        <v>1333.3333333333335</v>
      </c>
      <c r="M23" s="48">
        <f t="shared" si="7"/>
        <v>266.66666666666669</v>
      </c>
      <c r="N23" s="11">
        <v>1696.5</v>
      </c>
      <c r="O23" s="48">
        <f t="shared" si="8"/>
        <v>1413.75</v>
      </c>
      <c r="P23" s="48">
        <f t="shared" si="9"/>
        <v>282.75</v>
      </c>
      <c r="Q23" s="11">
        <v>2775</v>
      </c>
      <c r="R23" s="11">
        <v>19861.5</v>
      </c>
      <c r="S23" s="48">
        <v>0</v>
      </c>
      <c r="T23" s="48">
        <v>4000</v>
      </c>
      <c r="U23" s="49">
        <f>27737.5+11895</f>
        <v>39632.5</v>
      </c>
      <c r="V23" s="44"/>
    </row>
    <row r="24" spans="1:23" x14ac:dyDescent="0.3">
      <c r="A24" s="47">
        <v>45987</v>
      </c>
      <c r="B24" s="11">
        <f>25325+10420</f>
        <v>35745</v>
      </c>
      <c r="C24" s="48">
        <f t="shared" si="0"/>
        <v>32495.454545454544</v>
      </c>
      <c r="D24" s="48">
        <f t="shared" si="1"/>
        <v>3249.5454545454545</v>
      </c>
      <c r="E24" s="11">
        <f>1945</f>
        <v>1945</v>
      </c>
      <c r="F24" s="48">
        <f t="shared" si="2"/>
        <v>1620.8333333333335</v>
      </c>
      <c r="G24" s="48">
        <f t="shared" si="3"/>
        <v>324.16666666666674</v>
      </c>
      <c r="H24" s="11">
        <f>1385+3110</f>
        <v>4495</v>
      </c>
      <c r="I24" s="48">
        <f t="shared" si="4"/>
        <v>4086.363636363636</v>
      </c>
      <c r="J24" s="48">
        <f t="shared" si="5"/>
        <v>408.63636363636363</v>
      </c>
      <c r="K24" s="11">
        <f>2400+800</f>
        <v>3200</v>
      </c>
      <c r="L24" s="48">
        <f t="shared" si="6"/>
        <v>2666.666666666667</v>
      </c>
      <c r="M24" s="48">
        <f t="shared" si="7"/>
        <v>533.33333333333337</v>
      </c>
      <c r="N24" s="11">
        <f>2865.5+1353</f>
        <v>4218.5</v>
      </c>
      <c r="O24" s="48">
        <f t="shared" si="8"/>
        <v>3515.416666666667</v>
      </c>
      <c r="P24" s="48">
        <f t="shared" si="9"/>
        <v>703.08333333333348</v>
      </c>
      <c r="Q24" s="48">
        <f>0</f>
        <v>0</v>
      </c>
      <c r="R24" s="11">
        <f>33920.5-5295+15683</f>
        <v>44308.5</v>
      </c>
      <c r="S24" s="11">
        <v>5295</v>
      </c>
      <c r="T24" s="48">
        <v>0</v>
      </c>
      <c r="U24" s="49">
        <v>13884.5</v>
      </c>
      <c r="V24" s="44"/>
    </row>
    <row r="25" spans="1:23" x14ac:dyDescent="0.3">
      <c r="A25" s="47">
        <v>45988</v>
      </c>
      <c r="B25" s="11">
        <f>4625+2400</f>
        <v>7025</v>
      </c>
      <c r="C25" s="48">
        <f t="shared" si="0"/>
        <v>6386.363636363636</v>
      </c>
      <c r="D25" s="48">
        <f t="shared" si="1"/>
        <v>638.63636363636363</v>
      </c>
      <c r="E25" s="11">
        <f>1825+3050</f>
        <v>4875</v>
      </c>
      <c r="F25" s="48">
        <f t="shared" si="2"/>
        <v>4062.5</v>
      </c>
      <c r="G25" s="48">
        <f t="shared" si="3"/>
        <v>812.5</v>
      </c>
      <c r="H25" s="11">
        <f>225</f>
        <v>225</v>
      </c>
      <c r="I25" s="48">
        <f t="shared" si="4"/>
        <v>204.54545454545453</v>
      </c>
      <c r="J25" s="48">
        <f t="shared" si="5"/>
        <v>20.454545454545453</v>
      </c>
      <c r="K25" s="11">
        <f>600+1550</f>
        <v>2150</v>
      </c>
      <c r="L25" s="48">
        <f t="shared" si="6"/>
        <v>1791.6666666666667</v>
      </c>
      <c r="M25" s="48">
        <f t="shared" si="7"/>
        <v>358.33333333333337</v>
      </c>
      <c r="N25" s="11">
        <f>645+642.5</f>
        <v>1287.5</v>
      </c>
      <c r="O25" s="48">
        <f t="shared" si="8"/>
        <v>1072.9166666666667</v>
      </c>
      <c r="P25" s="48">
        <f t="shared" si="9"/>
        <v>214.58333333333337</v>
      </c>
      <c r="Q25" s="48">
        <f>0</f>
        <v>0</v>
      </c>
      <c r="R25" s="11">
        <f>7695-3967.5</f>
        <v>3727.5</v>
      </c>
      <c r="S25" s="11">
        <f>3967.5+7867.5</f>
        <v>11835</v>
      </c>
      <c r="T25" s="48">
        <v>0</v>
      </c>
      <c r="U25" s="49">
        <v>13532.5</v>
      </c>
      <c r="V25" s="44"/>
    </row>
    <row r="26" spans="1:23" x14ac:dyDescent="0.3">
      <c r="A26" s="47">
        <v>45989</v>
      </c>
      <c r="B26" s="11">
        <f>17278.04+6675</f>
        <v>23953.040000000001</v>
      </c>
      <c r="C26" s="48">
        <f t="shared" ref="C26:C28" si="10">B26/1.1</f>
        <v>21775.49090909091</v>
      </c>
      <c r="D26" s="48">
        <f t="shared" ref="D26:D28" si="11">C26*0.1</f>
        <v>2177.5490909090909</v>
      </c>
      <c r="E26" s="11">
        <f>7631.96+2740</f>
        <v>10371.959999999999</v>
      </c>
      <c r="F26" s="48">
        <f t="shared" ref="F26:F28" si="12">E26/1.2</f>
        <v>8643.2999999999993</v>
      </c>
      <c r="G26" s="48">
        <f t="shared" ref="G26:G28" si="13">F26*0.2</f>
        <v>1728.6599999999999</v>
      </c>
      <c r="H26" s="11">
        <f>200</f>
        <v>200</v>
      </c>
      <c r="I26" s="48">
        <f t="shared" ref="I26:I28" si="14">H26/1.1</f>
        <v>181.81818181818181</v>
      </c>
      <c r="J26" s="48">
        <f t="shared" ref="J26:J28" si="15">I26*0.1</f>
        <v>18.181818181818183</v>
      </c>
      <c r="K26" s="11">
        <f>2000+1300</f>
        <v>3300</v>
      </c>
      <c r="L26" s="48">
        <f t="shared" ref="L26:L28" si="16">K26/1.2</f>
        <v>2750</v>
      </c>
      <c r="M26" s="48">
        <f t="shared" ref="M26:M28" si="17">L26*0.2</f>
        <v>550</v>
      </c>
      <c r="N26" s="11">
        <f>2251+991.5</f>
        <v>3242.5</v>
      </c>
      <c r="O26" s="48">
        <f t="shared" ref="O26:O28" si="18">N26/1.2</f>
        <v>2702.0833333333335</v>
      </c>
      <c r="P26" s="48">
        <f t="shared" ref="P26:P28" si="19">O26*0.2</f>
        <v>540.41666666666674</v>
      </c>
      <c r="Q26" s="11">
        <f>3000</f>
        <v>3000</v>
      </c>
      <c r="R26" s="11">
        <f>26361+11706.5</f>
        <v>38067.5</v>
      </c>
      <c r="S26" s="48">
        <v>0</v>
      </c>
      <c r="T26" s="48"/>
      <c r="U26" s="49">
        <f>37862+32288.5+10500</f>
        <v>80650.5</v>
      </c>
      <c r="V26" s="44"/>
    </row>
    <row r="27" spans="1:23" x14ac:dyDescent="0.3">
      <c r="A27" s="47">
        <v>45990</v>
      </c>
      <c r="B27" s="11">
        <f>2700+35975+3850</f>
        <v>42525</v>
      </c>
      <c r="C27" s="48">
        <f t="shared" si="10"/>
        <v>38659.090909090904</v>
      </c>
      <c r="D27" s="48">
        <f t="shared" si="11"/>
        <v>3865.9090909090905</v>
      </c>
      <c r="E27" s="11">
        <f>3500+20790+4145</f>
        <v>28435</v>
      </c>
      <c r="F27" s="48">
        <f t="shared" si="12"/>
        <v>23695.833333333336</v>
      </c>
      <c r="G27" s="48">
        <f t="shared" si="13"/>
        <v>4739.166666666667</v>
      </c>
      <c r="H27" s="11">
        <f>2975</f>
        <v>2975</v>
      </c>
      <c r="I27" s="48">
        <f t="shared" si="14"/>
        <v>2704.5454545454545</v>
      </c>
      <c r="J27" s="48">
        <f t="shared" si="15"/>
        <v>270.45454545454544</v>
      </c>
      <c r="K27" s="11">
        <f>1000+3600+400</f>
        <v>5000</v>
      </c>
      <c r="L27" s="48">
        <f t="shared" si="16"/>
        <v>4166.666666666667</v>
      </c>
      <c r="M27" s="48">
        <f t="shared" si="17"/>
        <v>833.33333333333348</v>
      </c>
      <c r="N27" s="11">
        <f>1120+4016.5+750+799.5</f>
        <v>6686</v>
      </c>
      <c r="O27" s="48">
        <f t="shared" si="18"/>
        <v>5571.666666666667</v>
      </c>
      <c r="P27" s="48">
        <f t="shared" si="19"/>
        <v>1114.3333333333335</v>
      </c>
      <c r="Q27" s="11">
        <f>1590+9510</f>
        <v>11100</v>
      </c>
      <c r="R27" s="11">
        <f>6730+58596.5-13862.5+9194.5</f>
        <v>60658.5</v>
      </c>
      <c r="S27" s="11">
        <v>13862.5</v>
      </c>
      <c r="T27" s="48"/>
      <c r="U27" s="49">
        <f>37180+13209.5+19335</f>
        <v>69724.5</v>
      </c>
      <c r="V27" s="44"/>
    </row>
    <row r="28" spans="1:23" x14ac:dyDescent="0.3">
      <c r="A28" s="47">
        <v>45991</v>
      </c>
      <c r="B28" s="11">
        <f>19235+51860</f>
        <v>71095</v>
      </c>
      <c r="C28" s="48">
        <f t="shared" si="10"/>
        <v>64631.818181818177</v>
      </c>
      <c r="D28" s="48">
        <f t="shared" si="11"/>
        <v>6463.181818181818</v>
      </c>
      <c r="E28" s="11">
        <f>2590</f>
        <v>2590</v>
      </c>
      <c r="F28" s="48">
        <f t="shared" si="12"/>
        <v>2158.3333333333335</v>
      </c>
      <c r="G28" s="48">
        <f t="shared" si="13"/>
        <v>431.66666666666674</v>
      </c>
      <c r="H28" s="11">
        <f>540+1725</f>
        <v>2265</v>
      </c>
      <c r="I28" s="48">
        <f t="shared" si="14"/>
        <v>2059.090909090909</v>
      </c>
      <c r="J28" s="48">
        <f t="shared" si="15"/>
        <v>205.90909090909091</v>
      </c>
      <c r="K28" s="11">
        <f>1300+2400</f>
        <v>3700</v>
      </c>
      <c r="L28" s="48">
        <f t="shared" si="16"/>
        <v>3083.3333333333335</v>
      </c>
      <c r="M28" s="48">
        <f t="shared" si="17"/>
        <v>616.66666666666674</v>
      </c>
      <c r="N28" s="11">
        <f>864+3061.5</f>
        <v>3925.5</v>
      </c>
      <c r="O28" s="48">
        <f t="shared" si="18"/>
        <v>3271.25</v>
      </c>
      <c r="P28" s="48">
        <f t="shared" si="19"/>
        <v>654.25</v>
      </c>
      <c r="Q28" s="11">
        <f>4475</f>
        <v>4475</v>
      </c>
      <c r="R28" s="11">
        <f>21939+57161.5-7057.5</f>
        <v>72043</v>
      </c>
      <c r="S28" s="11">
        <v>7057.5</v>
      </c>
      <c r="T28" s="48">
        <v>0</v>
      </c>
      <c r="U28" s="49">
        <v>11592.5</v>
      </c>
      <c r="V28" s="44"/>
    </row>
    <row r="29" spans="1:23" x14ac:dyDescent="0.3">
      <c r="B29" s="55">
        <f>SUM(B3:B28)</f>
        <v>1174912.6099999999</v>
      </c>
      <c r="C29" s="56">
        <f>B29/1.1</f>
        <v>1068102.3727272726</v>
      </c>
      <c r="D29" s="56">
        <f t="shared" ref="D29" si="20">C29*10/100</f>
        <v>106810.23727272726</v>
      </c>
      <c r="E29" s="55">
        <f>SUM(E3:E28)</f>
        <v>341987.39</v>
      </c>
      <c r="F29" s="56">
        <f t="shared" si="2"/>
        <v>284989.4916666667</v>
      </c>
      <c r="G29" s="56">
        <f t="shared" ref="G29" si="21">F29*20/100</f>
        <v>56997.898333333338</v>
      </c>
      <c r="H29" s="55">
        <f>SUM(H3:H28)</f>
        <v>45925</v>
      </c>
      <c r="I29" s="56">
        <f t="shared" si="4"/>
        <v>41750</v>
      </c>
      <c r="J29" s="56">
        <f t="shared" ref="J29" si="22">I29*10/100</f>
        <v>4175</v>
      </c>
      <c r="K29" s="55">
        <f>SUM(K3:K28)</f>
        <v>108050</v>
      </c>
      <c r="L29" s="56">
        <f t="shared" si="6"/>
        <v>90041.666666666672</v>
      </c>
      <c r="M29" s="56">
        <f t="shared" ref="M29" si="23">L29*20/100</f>
        <v>18008.333333333336</v>
      </c>
      <c r="N29" s="55">
        <f>SUM(N3:N28)</f>
        <v>121801.5</v>
      </c>
      <c r="O29" s="56">
        <f t="shared" si="8"/>
        <v>101501.25</v>
      </c>
      <c r="P29" s="56">
        <f t="shared" ref="P29" si="24">O29*20/100</f>
        <v>20300.25</v>
      </c>
      <c r="Q29" s="55">
        <f>SUM(Q3:Q28)</f>
        <v>100275</v>
      </c>
      <c r="R29" s="55">
        <f>SUM(R3:R28)</f>
        <v>1569248.5</v>
      </c>
      <c r="S29" s="55">
        <f>SUM(S3:S28)</f>
        <v>123153</v>
      </c>
      <c r="T29" s="55">
        <f>SUM(T3:T28)</f>
        <v>18368.5</v>
      </c>
      <c r="U29" s="55">
        <f>SUM(U3:U28)</f>
        <v>1173318.5</v>
      </c>
      <c r="V29" s="44"/>
    </row>
    <row r="31" spans="1:23" x14ac:dyDescent="0.3">
      <c r="A31" s="54" t="s">
        <v>83</v>
      </c>
      <c r="B31" s="55">
        <v>144336.41</v>
      </c>
      <c r="C31" s="56">
        <v>131214.91818181818</v>
      </c>
      <c r="D31" s="56">
        <v>13121.491818181819</v>
      </c>
      <c r="H31" s="55">
        <v>647797.09000000008</v>
      </c>
      <c r="I31" s="56">
        <v>588906.44545454544</v>
      </c>
      <c r="J31" s="56">
        <v>58890.644545454539</v>
      </c>
      <c r="Q31" s="116">
        <v>158809</v>
      </c>
      <c r="R31" s="117">
        <v>591604.5</v>
      </c>
      <c r="S31" s="117">
        <v>40800</v>
      </c>
      <c r="T31" s="116">
        <v>8875</v>
      </c>
      <c r="U31" s="117">
        <v>5875</v>
      </c>
      <c r="V31" s="117">
        <v>15090</v>
      </c>
      <c r="W31" s="116">
        <v>920</v>
      </c>
    </row>
    <row r="33" spans="1:23" x14ac:dyDescent="0.3">
      <c r="B33" s="103">
        <v>0.1</v>
      </c>
      <c r="C33" s="103">
        <v>0.2</v>
      </c>
      <c r="D33" s="43" t="s">
        <v>6</v>
      </c>
      <c r="E33" s="43" t="s">
        <v>9</v>
      </c>
      <c r="F33" s="43" t="s">
        <v>86</v>
      </c>
      <c r="G33" s="43" t="s">
        <v>87</v>
      </c>
    </row>
    <row r="34" spans="1:23" x14ac:dyDescent="0.3">
      <c r="A34" s="54" t="s">
        <v>84</v>
      </c>
      <c r="B34" s="57">
        <v>204664.39</v>
      </c>
      <c r="C34" s="57">
        <v>122394.61</v>
      </c>
      <c r="D34" s="57">
        <v>10015</v>
      </c>
      <c r="E34" s="57">
        <v>317044</v>
      </c>
      <c r="F34" s="57">
        <v>1790</v>
      </c>
      <c r="G34" s="57">
        <v>230485.5</v>
      </c>
    </row>
    <row r="35" spans="1:23" x14ac:dyDescent="0.3">
      <c r="A35" s="54" t="s">
        <v>85</v>
      </c>
      <c r="B35" s="57">
        <v>996398.22</v>
      </c>
      <c r="C35" s="57">
        <v>447280.28</v>
      </c>
      <c r="D35" s="57">
        <v>90260</v>
      </c>
      <c r="E35" s="57">
        <v>1353418.5</v>
      </c>
      <c r="F35" s="57">
        <v>16578.5</v>
      </c>
      <c r="G35" s="57">
        <v>942833</v>
      </c>
    </row>
    <row r="36" spans="1:23" x14ac:dyDescent="0.3">
      <c r="B36" s="55">
        <f>SUM(B34:B35)</f>
        <v>1201062.6099999999</v>
      </c>
      <c r="C36" s="55">
        <f t="shared" ref="C36:G36" si="25">SUM(C34:C35)</f>
        <v>569674.89</v>
      </c>
      <c r="D36" s="55">
        <f t="shared" si="25"/>
        <v>100275</v>
      </c>
      <c r="E36" s="55">
        <f t="shared" si="25"/>
        <v>1670462.5</v>
      </c>
      <c r="F36" s="55">
        <f t="shared" si="25"/>
        <v>18368.5</v>
      </c>
      <c r="G36" s="55">
        <f t="shared" si="25"/>
        <v>1173318.5</v>
      </c>
    </row>
    <row r="37" spans="1:23" x14ac:dyDescent="0.3">
      <c r="B37" s="57">
        <f>B29+H29</f>
        <v>1220837.6099999999</v>
      </c>
      <c r="C37" s="57">
        <f>E29+K29+N29</f>
        <v>571838.89</v>
      </c>
      <c r="D37" s="57">
        <f>Q29</f>
        <v>100275</v>
      </c>
      <c r="E37" s="57">
        <f>R29+S29</f>
        <v>1692401.5</v>
      </c>
      <c r="F37" s="57">
        <f>T29</f>
        <v>18368.5</v>
      </c>
      <c r="G37" s="57">
        <f>U29</f>
        <v>1173318.5</v>
      </c>
    </row>
    <row r="38" spans="1:23" x14ac:dyDescent="0.3">
      <c r="B38" s="57">
        <f>B36-B37</f>
        <v>-19775</v>
      </c>
      <c r="C38" s="57">
        <f t="shared" ref="C38:G38" si="26">C36-C37</f>
        <v>-2164</v>
      </c>
      <c r="D38" s="57">
        <f t="shared" si="26"/>
        <v>0</v>
      </c>
      <c r="E38" s="57">
        <f t="shared" si="26"/>
        <v>-21939</v>
      </c>
      <c r="F38" s="57">
        <f t="shared" si="26"/>
        <v>0</v>
      </c>
      <c r="G38" s="57">
        <f t="shared" si="26"/>
        <v>0</v>
      </c>
    </row>
    <row r="41" spans="1:23" ht="15" thickBot="1" x14ac:dyDescent="0.35"/>
    <row r="42" spans="1:23" x14ac:dyDescent="0.3">
      <c r="A42" s="76"/>
      <c r="B42" s="77"/>
      <c r="C42" s="77"/>
      <c r="D42" s="77"/>
      <c r="E42" s="78"/>
      <c r="G42" s="76"/>
      <c r="H42" s="77"/>
      <c r="I42" s="77"/>
      <c r="J42" s="77"/>
      <c r="K42" s="78"/>
      <c r="Q42" s="57"/>
      <c r="R42" s="57"/>
      <c r="V42" s="43"/>
    </row>
    <row r="43" spans="1:23" x14ac:dyDescent="0.3">
      <c r="A43" s="142" t="s">
        <v>63</v>
      </c>
      <c r="B43" s="143"/>
      <c r="C43" s="143"/>
      <c r="D43" s="143"/>
      <c r="E43" s="144"/>
      <c r="G43" s="142" t="s">
        <v>75</v>
      </c>
      <c r="H43" s="143"/>
      <c r="I43" s="143"/>
      <c r="J43" s="143"/>
      <c r="K43" s="144"/>
      <c r="V43" s="43"/>
    </row>
    <row r="44" spans="1:23" x14ac:dyDescent="0.3">
      <c r="A44" s="79"/>
      <c r="B44" s="80"/>
      <c r="C44" s="80"/>
      <c r="D44" s="80"/>
      <c r="E44" s="81"/>
      <c r="G44" s="79"/>
      <c r="H44" s="80"/>
      <c r="I44" s="80"/>
      <c r="J44" s="80"/>
      <c r="K44" s="81"/>
      <c r="V44" s="43"/>
    </row>
    <row r="45" spans="1:23" x14ac:dyDescent="0.3">
      <c r="A45" s="82" t="s">
        <v>33</v>
      </c>
      <c r="B45" s="83">
        <v>1</v>
      </c>
      <c r="C45" s="84">
        <v>2</v>
      </c>
      <c r="D45" s="84" t="s">
        <v>37</v>
      </c>
      <c r="E45" s="85" t="s">
        <v>56</v>
      </c>
      <c r="F45"/>
      <c r="G45" s="82"/>
      <c r="H45" s="83">
        <v>1</v>
      </c>
      <c r="I45" s="84"/>
      <c r="J45" s="84" t="s">
        <v>37</v>
      </c>
      <c r="K45" s="85" t="s">
        <v>56</v>
      </c>
      <c r="L45"/>
      <c r="M45"/>
      <c r="N45"/>
      <c r="O45" t="s">
        <v>58</v>
      </c>
      <c r="P45"/>
      <c r="Q45" t="s">
        <v>59</v>
      </c>
      <c r="R45" t="s">
        <v>60</v>
      </c>
      <c r="S45" t="s">
        <v>61</v>
      </c>
      <c r="T45" t="s">
        <v>62</v>
      </c>
      <c r="U45"/>
      <c r="V45" s="4"/>
      <c r="W45"/>
    </row>
    <row r="46" spans="1:23" x14ac:dyDescent="0.3">
      <c r="A46" s="86">
        <v>0.1</v>
      </c>
      <c r="B46" s="83">
        <v>996398.22</v>
      </c>
      <c r="C46" s="83">
        <v>224439.39</v>
      </c>
      <c r="D46" s="83">
        <v>792133.5</v>
      </c>
      <c r="E46" s="85">
        <f>SUM(B46:D46)</f>
        <v>2012971.1099999999</v>
      </c>
      <c r="F46" s="5"/>
      <c r="G46" s="86">
        <v>0.1</v>
      </c>
      <c r="H46" s="83">
        <f>B29+H29</f>
        <v>1220837.6099999999</v>
      </c>
      <c r="I46" s="83"/>
      <c r="J46" s="83">
        <f>B31+H31</f>
        <v>792133.50000000012</v>
      </c>
      <c r="K46" s="85">
        <f>SUM(H46:J46)</f>
        <v>2012971.1099999999</v>
      </c>
      <c r="L46" s="5"/>
      <c r="M46"/>
      <c r="N46" s="72">
        <v>0.1</v>
      </c>
      <c r="O46" s="5">
        <v>0</v>
      </c>
      <c r="P46"/>
      <c r="Q46" s="5">
        <f>1844434.37-3219.84</f>
        <v>1841214.53</v>
      </c>
      <c r="R46" s="5">
        <v>747294.51</v>
      </c>
      <c r="S46" s="5">
        <f>SUM(Q46:R46)</f>
        <v>2588509.04</v>
      </c>
      <c r="T46" s="5">
        <f>S46*10/100</f>
        <v>258850.90399999998</v>
      </c>
      <c r="U46" s="5">
        <v>258850.91</v>
      </c>
      <c r="V46" s="100">
        <f>T46-U46</f>
        <v>-6.0000000230502337E-3</v>
      </c>
      <c r="W46"/>
    </row>
    <row r="47" spans="1:23" x14ac:dyDescent="0.3">
      <c r="A47" s="86">
        <v>0.2</v>
      </c>
      <c r="B47" s="83">
        <v>447280.28</v>
      </c>
      <c r="C47" s="83">
        <v>124558.61</v>
      </c>
      <c r="D47" s="83"/>
      <c r="E47" s="85">
        <f>SUM(B47:D47)</f>
        <v>571838.89</v>
      </c>
      <c r="F47" s="5"/>
      <c r="G47" s="86">
        <v>0.2</v>
      </c>
      <c r="H47" s="83">
        <f>E29+K29+N29</f>
        <v>571838.89</v>
      </c>
      <c r="I47" s="83"/>
      <c r="J47" s="83"/>
      <c r="K47" s="85">
        <f>SUM(H47:J47)</f>
        <v>571838.89</v>
      </c>
      <c r="L47" s="5"/>
      <c r="M47"/>
      <c r="N47" s="72">
        <v>0.2</v>
      </c>
      <c r="O47" s="5">
        <f>D47</f>
        <v>0</v>
      </c>
      <c r="P47"/>
      <c r="Q47" s="5">
        <f>871178.1-11217.23</f>
        <v>859960.87</v>
      </c>
      <c r="R47" s="5">
        <v>5833.33</v>
      </c>
      <c r="S47" s="5">
        <f>SUM(Q47:R47)</f>
        <v>865794.2</v>
      </c>
      <c r="T47" s="5">
        <f>S47*20/100</f>
        <v>173158.84</v>
      </c>
      <c r="U47" s="5">
        <v>173158.88</v>
      </c>
      <c r="V47" s="100">
        <f>T47-U47</f>
        <v>-4.0000000008149073E-2</v>
      </c>
      <c r="W47"/>
    </row>
    <row r="48" spans="1:23" x14ac:dyDescent="0.3">
      <c r="A48" s="87" t="s">
        <v>56</v>
      </c>
      <c r="B48" s="88">
        <f>SUM(B46:B47)</f>
        <v>1443678.5</v>
      </c>
      <c r="C48" s="88">
        <f>SUM(C46:C47)</f>
        <v>348998</v>
      </c>
      <c r="D48" s="88">
        <f>SUM(D46:D47)</f>
        <v>792133.5</v>
      </c>
      <c r="E48" s="85">
        <f>SUM(E46:E47)</f>
        <v>2584810</v>
      </c>
      <c r="F48" s="6"/>
      <c r="G48" s="87" t="s">
        <v>56</v>
      </c>
      <c r="H48" s="88">
        <f>SUM(H46:H47)</f>
        <v>1792676.5</v>
      </c>
      <c r="I48" s="88"/>
      <c r="J48" s="88">
        <f>SUM(J46:J47)</f>
        <v>792133.50000000012</v>
      </c>
      <c r="K48" s="89">
        <f>SUM(K46:K47)</f>
        <v>2584810</v>
      </c>
      <c r="L48" s="5"/>
      <c r="M48"/>
      <c r="N48"/>
      <c r="O48"/>
      <c r="P48"/>
      <c r="Q48" s="5"/>
      <c r="R48" s="5"/>
      <c r="S48" s="5">
        <f>SUM(S46:S47)</f>
        <v>3454303.24</v>
      </c>
      <c r="T48" s="5">
        <f>SUM(T46:T47)</f>
        <v>432009.74399999995</v>
      </c>
      <c r="U48" s="5">
        <f>S48+T48</f>
        <v>3886312.9840000002</v>
      </c>
      <c r="V48" s="73" t="s">
        <v>64</v>
      </c>
      <c r="W48"/>
    </row>
    <row r="49" spans="1:23" x14ac:dyDescent="0.3">
      <c r="A49" s="82" t="s">
        <v>65</v>
      </c>
      <c r="B49" s="83">
        <v>106838.5</v>
      </c>
      <c r="C49" s="83">
        <v>11805</v>
      </c>
      <c r="D49" s="83">
        <v>158809</v>
      </c>
      <c r="E49" s="85">
        <f>SUM(B49:D49)</f>
        <v>277452.5</v>
      </c>
      <c r="F49" s="5"/>
      <c r="G49" s="82" t="s">
        <v>65</v>
      </c>
      <c r="H49" s="83">
        <f>Q29+T29</f>
        <v>118643.5</v>
      </c>
      <c r="I49" s="83"/>
      <c r="J49" s="83">
        <f>Q31</f>
        <v>158809</v>
      </c>
      <c r="K49" s="85">
        <f>SUM(H49:J49)</f>
        <v>277452.5</v>
      </c>
      <c r="L49" s="5"/>
      <c r="M49"/>
      <c r="N49"/>
      <c r="O49" s="74" t="s">
        <v>66</v>
      </c>
      <c r="P49" s="74"/>
      <c r="Q49" s="6"/>
      <c r="R49" s="6"/>
      <c r="S49"/>
      <c r="T49"/>
      <c r="U49" s="5">
        <f>E48</f>
        <v>2584810</v>
      </c>
      <c r="V49" s="73" t="s">
        <v>67</v>
      </c>
      <c r="W49"/>
    </row>
    <row r="50" spans="1:23" x14ac:dyDescent="0.3">
      <c r="A50" s="82" t="s">
        <v>57</v>
      </c>
      <c r="B50" s="83">
        <v>2296251.5</v>
      </c>
      <c r="C50" s="83">
        <v>569468.5</v>
      </c>
      <c r="D50" s="83">
        <v>632404.5</v>
      </c>
      <c r="E50" s="85">
        <f>SUM(B50:D50)</f>
        <v>3498124.5</v>
      </c>
      <c r="F50" s="5"/>
      <c r="G50" s="82" t="s">
        <v>57</v>
      </c>
      <c r="H50" s="83">
        <f>R29+S29+U29</f>
        <v>2865720</v>
      </c>
      <c r="I50" s="83"/>
      <c r="J50" s="83">
        <f>R31+S31</f>
        <v>632404.5</v>
      </c>
      <c r="K50" s="85">
        <f>SUM(H50:J50)</f>
        <v>3498124.5</v>
      </c>
      <c r="L50" s="5"/>
      <c r="M50"/>
      <c r="N50"/>
      <c r="O50"/>
      <c r="P50"/>
      <c r="Q50" s="5"/>
      <c r="R50" s="5"/>
      <c r="S50"/>
      <c r="T50"/>
      <c r="U50" s="5">
        <v>1191687.53</v>
      </c>
      <c r="V50" s="73" t="s">
        <v>68</v>
      </c>
      <c r="W50"/>
    </row>
    <row r="51" spans="1:23" x14ac:dyDescent="0.3">
      <c r="A51" s="87" t="s">
        <v>56</v>
      </c>
      <c r="B51" s="88">
        <f>SUM(B49:B50)</f>
        <v>2403090</v>
      </c>
      <c r="C51" s="88">
        <f>SUM(C49:C50)</f>
        <v>581273.5</v>
      </c>
      <c r="D51" s="88">
        <f>SUM(D49:D50)</f>
        <v>791213.5</v>
      </c>
      <c r="E51" s="89">
        <f>SUM(B51:D51)</f>
        <v>3775577</v>
      </c>
      <c r="F51" s="6"/>
      <c r="G51" s="87" t="s">
        <v>56</v>
      </c>
      <c r="H51" s="88">
        <f>SUM(H49:H50)</f>
        <v>2984363.5</v>
      </c>
      <c r="I51" s="88"/>
      <c r="J51" s="88">
        <f>SUM(J49:J50)</f>
        <v>791213.5</v>
      </c>
      <c r="K51" s="89">
        <f>SUM(H51:J51)</f>
        <v>3775577</v>
      </c>
      <c r="L51" s="5"/>
      <c r="M51"/>
      <c r="N51"/>
      <c r="O51"/>
      <c r="P51"/>
      <c r="Q51" s="5"/>
      <c r="R51" s="5"/>
      <c r="S51"/>
      <c r="T51"/>
      <c r="U51" s="6">
        <v>7000</v>
      </c>
      <c r="V51" s="75" t="s">
        <v>69</v>
      </c>
      <c r="W51"/>
    </row>
    <row r="52" spans="1:23" x14ac:dyDescent="0.3">
      <c r="A52" s="90" t="s">
        <v>70</v>
      </c>
      <c r="B52" s="91">
        <f>B51-B48</f>
        <v>959411.5</v>
      </c>
      <c r="C52" s="91">
        <f t="shared" ref="C52:D52" si="27">C51-C48</f>
        <v>232275.5</v>
      </c>
      <c r="D52" s="91">
        <f t="shared" si="27"/>
        <v>-920</v>
      </c>
      <c r="E52" s="92"/>
      <c r="F52"/>
      <c r="G52" s="90" t="s">
        <v>70</v>
      </c>
      <c r="H52" s="91">
        <f>H51-H48</f>
        <v>1191687</v>
      </c>
      <c r="I52" s="91"/>
      <c r="J52" s="91">
        <f t="shared" ref="J52" si="28">J51-J48</f>
        <v>-920.00000000011642</v>
      </c>
      <c r="K52" s="92"/>
      <c r="L52" s="5"/>
      <c r="M52"/>
      <c r="N52"/>
      <c r="O52"/>
      <c r="P52"/>
      <c r="Q52"/>
      <c r="R52"/>
      <c r="S52"/>
      <c r="T52" s="74" t="s">
        <v>61</v>
      </c>
      <c r="U52" s="6">
        <f>SUM(U49:U51)</f>
        <v>3783497.5300000003</v>
      </c>
      <c r="V52" s="4"/>
      <c r="W52"/>
    </row>
    <row r="53" spans="1:23" x14ac:dyDescent="0.3">
      <c r="A53" s="93" t="s">
        <v>71</v>
      </c>
      <c r="B53" s="94">
        <v>959411.5</v>
      </c>
      <c r="C53" s="94">
        <v>232275.5</v>
      </c>
      <c r="D53" s="94">
        <v>29840</v>
      </c>
      <c r="E53" s="92"/>
      <c r="F53" s="6"/>
      <c r="G53" s="93" t="s">
        <v>71</v>
      </c>
      <c r="H53" s="94">
        <f>T29+U29</f>
        <v>1191687</v>
      </c>
      <c r="I53" s="94"/>
      <c r="J53" s="94">
        <f>W29</f>
        <v>0</v>
      </c>
      <c r="K53" s="92"/>
      <c r="L53"/>
      <c r="M53"/>
      <c r="N53"/>
      <c r="O53"/>
      <c r="P53"/>
      <c r="Q53"/>
      <c r="R53"/>
      <c r="S53"/>
      <c r="T53"/>
      <c r="U53" s="6">
        <f>U48-U52</f>
        <v>102815.45399999991</v>
      </c>
      <c r="V53" s="75" t="s">
        <v>72</v>
      </c>
      <c r="W53"/>
    </row>
    <row r="54" spans="1:23" x14ac:dyDescent="0.3">
      <c r="A54" s="82"/>
      <c r="B54" s="83">
        <f>B52-B53</f>
        <v>0</v>
      </c>
      <c r="C54" s="83">
        <f>C52-C53</f>
        <v>0</v>
      </c>
      <c r="D54" s="84">
        <v>920</v>
      </c>
      <c r="E54" s="95" t="s">
        <v>74</v>
      </c>
      <c r="F54"/>
      <c r="G54" s="82"/>
      <c r="H54" s="83">
        <f>H52-H53</f>
        <v>0</v>
      </c>
      <c r="I54" s="83"/>
      <c r="J54" s="84">
        <v>920</v>
      </c>
      <c r="K54" s="95" t="s">
        <v>74</v>
      </c>
      <c r="L54"/>
      <c r="M54"/>
      <c r="N54"/>
      <c r="O54"/>
      <c r="P54"/>
      <c r="Q54"/>
      <c r="R54"/>
      <c r="S54"/>
      <c r="T54"/>
      <c r="U54" s="5">
        <v>72925</v>
      </c>
      <c r="V54" s="75" t="s">
        <v>73</v>
      </c>
      <c r="W54"/>
    </row>
    <row r="55" spans="1:23" x14ac:dyDescent="0.3">
      <c r="A55" s="82"/>
      <c r="B55" s="83"/>
      <c r="C55" s="83"/>
      <c r="D55" s="84"/>
      <c r="E55" s="95"/>
      <c r="F55"/>
      <c r="G55" s="82"/>
      <c r="H55" s="83"/>
      <c r="I55" s="83"/>
      <c r="J55" s="84"/>
      <c r="K55" s="95"/>
      <c r="L55"/>
      <c r="M55"/>
      <c r="N55"/>
      <c r="O55"/>
      <c r="P55"/>
      <c r="Q55"/>
      <c r="R55"/>
      <c r="S55"/>
      <c r="T55"/>
      <c r="U55" s="5">
        <v>0</v>
      </c>
      <c r="V55" s="75" t="s">
        <v>77</v>
      </c>
      <c r="W55"/>
    </row>
    <row r="56" spans="1:23" x14ac:dyDescent="0.3">
      <c r="A56" s="82"/>
      <c r="B56" s="83"/>
      <c r="C56" s="83"/>
      <c r="D56" s="84"/>
      <c r="E56" s="95"/>
      <c r="F56"/>
      <c r="G56" s="82"/>
      <c r="H56" s="83"/>
      <c r="I56" s="83"/>
      <c r="J56" s="84"/>
      <c r="K56" s="95"/>
      <c r="L56"/>
      <c r="M56"/>
      <c r="N56"/>
      <c r="O56"/>
      <c r="P56"/>
      <c r="Q56"/>
      <c r="R56"/>
      <c r="S56"/>
      <c r="T56"/>
      <c r="U56" s="6">
        <f>U54-U55</f>
        <v>72925</v>
      </c>
      <c r="V56" s="75" t="s">
        <v>78</v>
      </c>
      <c r="W56"/>
    </row>
    <row r="57" spans="1:23" ht="15" thickBot="1" x14ac:dyDescent="0.35">
      <c r="A57" s="96"/>
      <c r="B57" s="97"/>
      <c r="C57" s="97"/>
      <c r="D57" s="97"/>
      <c r="E57" s="98"/>
      <c r="F57"/>
      <c r="G57" s="96"/>
      <c r="H57" s="97"/>
      <c r="I57" s="97"/>
      <c r="J57" s="97"/>
      <c r="K57" s="98"/>
      <c r="L57"/>
      <c r="M57"/>
      <c r="N57"/>
      <c r="O57"/>
      <c r="P57"/>
      <c r="Q57"/>
      <c r="R57"/>
      <c r="S57"/>
      <c r="T57" s="74" t="s">
        <v>72</v>
      </c>
      <c r="U57" s="5">
        <f>U53-U56</f>
        <v>29890.453999999911</v>
      </c>
      <c r="V57" s="4"/>
      <c r="W57"/>
    </row>
    <row r="58" spans="1:23" x14ac:dyDescent="0.3">
      <c r="A58" s="111"/>
      <c r="B58" s="84"/>
      <c r="C58" s="84"/>
      <c r="D58" s="84"/>
      <c r="E58" s="84"/>
      <c r="F58"/>
      <c r="G58" s="111"/>
      <c r="H58" s="84"/>
      <c r="I58" s="84"/>
      <c r="J58" s="84"/>
      <c r="K58" s="84"/>
      <c r="L58"/>
      <c r="M58"/>
      <c r="N58"/>
      <c r="O58"/>
      <c r="P58"/>
      <c r="Q58"/>
      <c r="R58"/>
      <c r="S58"/>
      <c r="T58" s="74"/>
      <c r="U58" s="5">
        <v>29840</v>
      </c>
      <c r="V58" s="4" t="s">
        <v>82</v>
      </c>
      <c r="W58"/>
    </row>
    <row r="59" spans="1:23" x14ac:dyDescent="0.3">
      <c r="A59" s="111"/>
      <c r="B59" s="84"/>
      <c r="C59" s="84"/>
      <c r="D59" s="84"/>
      <c r="E59" s="84"/>
      <c r="F59"/>
      <c r="G59" s="111"/>
      <c r="H59" s="84"/>
      <c r="I59" s="84"/>
      <c r="J59" s="84"/>
      <c r="K59" s="84"/>
      <c r="L59"/>
      <c r="M59"/>
      <c r="N59"/>
      <c r="O59"/>
      <c r="P59"/>
      <c r="Q59"/>
      <c r="R59"/>
      <c r="S59"/>
      <c r="T59" s="74"/>
      <c r="U59" s="5">
        <f>U57-U58</f>
        <v>50.453999999910593</v>
      </c>
      <c r="V59" s="4"/>
      <c r="W59"/>
    </row>
    <row r="60" spans="1:23" x14ac:dyDescent="0.3">
      <c r="A60" s="4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 s="5"/>
      <c r="V60" s="75"/>
      <c r="W60"/>
    </row>
    <row r="61" spans="1:23" x14ac:dyDescent="0.3">
      <c r="A61" s="4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 s="5"/>
      <c r="V61" s="75"/>
      <c r="W61"/>
    </row>
  </sheetData>
  <mergeCells count="3">
    <mergeCell ref="T1:U1"/>
    <mergeCell ref="A43:E43"/>
    <mergeCell ref="G43:K4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opLeftCell="B1" zoomScale="80" zoomScaleNormal="80" workbookViewId="0">
      <selection activeCell="A53" sqref="A53:XFD53"/>
    </sheetView>
  </sheetViews>
  <sheetFormatPr defaultColWidth="8.88671875" defaultRowHeight="14.4" x14ac:dyDescent="0.3"/>
  <cols>
    <col min="1" max="1" width="12.109375" style="54" bestFit="1" customWidth="1"/>
    <col min="2" max="2" width="12.33203125" style="43" bestFit="1" customWidth="1"/>
    <col min="3" max="3" width="11.5546875" style="43" bestFit="1" customWidth="1"/>
    <col min="4" max="4" width="11" style="43" bestFit="1" customWidth="1"/>
    <col min="5" max="5" width="15.109375" style="43" bestFit="1" customWidth="1"/>
    <col min="6" max="6" width="13.109375" style="43" bestFit="1" customWidth="1"/>
    <col min="7" max="7" width="12.109375" style="43" bestFit="1" customWidth="1"/>
    <col min="8" max="8" width="12.33203125" style="43" bestFit="1" customWidth="1"/>
    <col min="9" max="9" width="10" style="43" bestFit="1" customWidth="1"/>
    <col min="10" max="10" width="11.6640625" style="43" bestFit="1" customWidth="1"/>
    <col min="11" max="11" width="11.88671875" style="43" bestFit="1" customWidth="1"/>
    <col min="12" max="12" width="10" style="43" bestFit="1" customWidth="1"/>
    <col min="13" max="13" width="9" style="43" bestFit="1" customWidth="1"/>
    <col min="14" max="14" width="10.109375" style="43" bestFit="1" customWidth="1"/>
    <col min="15" max="15" width="10.33203125" style="43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0" style="43" bestFit="1" customWidth="1"/>
    <col min="21" max="21" width="12.5546875" style="43" bestFit="1" customWidth="1"/>
    <col min="22" max="22" width="21.6640625" style="54" bestFit="1" customWidth="1"/>
    <col min="23" max="16384" width="8.88671875" style="43"/>
  </cols>
  <sheetData>
    <row r="1" spans="1:22" x14ac:dyDescent="0.3">
      <c r="A1" s="118" t="s">
        <v>0</v>
      </c>
      <c r="B1" s="41" t="s">
        <v>1</v>
      </c>
      <c r="C1" s="41"/>
      <c r="D1" s="41"/>
      <c r="E1" s="41" t="s">
        <v>2</v>
      </c>
      <c r="F1" s="41"/>
      <c r="G1" s="41"/>
      <c r="H1" s="118" t="s">
        <v>3</v>
      </c>
      <c r="I1" s="41"/>
      <c r="J1" s="41"/>
      <c r="K1" s="118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40" t="s">
        <v>8</v>
      </c>
      <c r="U1" s="141"/>
      <c r="V1" s="118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18"/>
      <c r="R2" s="118"/>
      <c r="S2" s="118"/>
      <c r="T2" s="118" t="s">
        <v>6</v>
      </c>
      <c r="U2" s="119" t="s">
        <v>9</v>
      </c>
      <c r="V2" s="44"/>
    </row>
    <row r="3" spans="1:22" ht="16.95" customHeight="1" x14ac:dyDescent="0.3">
      <c r="A3" s="47">
        <v>45993</v>
      </c>
      <c r="B3" s="11">
        <v>13625</v>
      </c>
      <c r="C3" s="48">
        <f t="shared" ref="C3:C27" si="0">B3/1.1</f>
        <v>12386.363636363636</v>
      </c>
      <c r="D3" s="48">
        <f t="shared" ref="D3:D27" si="1">C3*0.1</f>
        <v>1238.6363636363637</v>
      </c>
      <c r="E3" s="11">
        <v>2340</v>
      </c>
      <c r="F3" s="48">
        <f t="shared" ref="F3:F29" si="2">E3/1.2</f>
        <v>1950</v>
      </c>
      <c r="G3" s="48">
        <f t="shared" ref="G3:G27" si="3">F3*0.2</f>
        <v>390</v>
      </c>
      <c r="H3" s="11">
        <v>200</v>
      </c>
      <c r="I3" s="48">
        <f t="shared" ref="I3:I29" si="4">H3/1.1</f>
        <v>181.81818181818181</v>
      </c>
      <c r="J3" s="48">
        <f t="shared" ref="J3:J27" si="5">I3*0.1</f>
        <v>18.181818181818183</v>
      </c>
      <c r="K3" s="11">
        <v>1600</v>
      </c>
      <c r="L3" s="48">
        <f t="shared" ref="L3:L29" si="6">K3/1.2</f>
        <v>1333.3333333333335</v>
      </c>
      <c r="M3" s="48">
        <f t="shared" ref="M3:M27" si="7">L3*0.2</f>
        <v>266.66666666666669</v>
      </c>
      <c r="N3" s="11">
        <v>1616.5</v>
      </c>
      <c r="O3" s="48">
        <f t="shared" ref="O3:O29" si="8">N3/1.2</f>
        <v>1347.0833333333335</v>
      </c>
      <c r="P3" s="48">
        <f t="shared" ref="P3:P27" si="9">O3*0.2</f>
        <v>269.41666666666669</v>
      </c>
      <c r="Q3" s="48">
        <v>0</v>
      </c>
      <c r="R3" s="11">
        <v>19381.5</v>
      </c>
      <c r="S3" s="48">
        <v>0</v>
      </c>
      <c r="T3" s="114">
        <v>0</v>
      </c>
      <c r="U3" s="48">
        <v>24762</v>
      </c>
      <c r="V3" s="50"/>
    </row>
    <row r="4" spans="1:22" x14ac:dyDescent="0.3">
      <c r="A4" s="47">
        <v>45994</v>
      </c>
      <c r="B4" s="11">
        <f>14650+4550</f>
        <v>19200</v>
      </c>
      <c r="C4" s="48">
        <f t="shared" si="0"/>
        <v>17454.545454545452</v>
      </c>
      <c r="D4" s="48">
        <f t="shared" si="1"/>
        <v>1745.4545454545453</v>
      </c>
      <c r="E4" s="11">
        <f>3990+2100</f>
        <v>6090</v>
      </c>
      <c r="F4" s="48">
        <f t="shared" si="2"/>
        <v>5075</v>
      </c>
      <c r="G4" s="48">
        <f t="shared" si="3"/>
        <v>1015</v>
      </c>
      <c r="H4" s="48">
        <f>0</f>
        <v>0</v>
      </c>
      <c r="I4" s="48">
        <f t="shared" si="4"/>
        <v>0</v>
      </c>
      <c r="J4" s="48">
        <f t="shared" si="5"/>
        <v>0</v>
      </c>
      <c r="K4" s="11">
        <f>1600+600</f>
        <v>2200</v>
      </c>
      <c r="L4" s="48">
        <f t="shared" si="6"/>
        <v>1833.3333333333335</v>
      </c>
      <c r="M4" s="48">
        <f t="shared" si="7"/>
        <v>366.66666666666674</v>
      </c>
      <c r="N4" s="11">
        <f>1327.5+665</f>
        <v>1992.5</v>
      </c>
      <c r="O4" s="48">
        <f t="shared" si="8"/>
        <v>1660.4166666666667</v>
      </c>
      <c r="P4" s="48">
        <f t="shared" si="9"/>
        <v>332.08333333333337</v>
      </c>
      <c r="Q4" s="11">
        <f>5765</f>
        <v>5765</v>
      </c>
      <c r="R4" s="11">
        <f>15802.5+7915</f>
        <v>23717.5</v>
      </c>
      <c r="S4" s="48">
        <v>0</v>
      </c>
      <c r="T4" s="48">
        <v>5</v>
      </c>
      <c r="U4" s="49">
        <v>17565</v>
      </c>
      <c r="V4" s="44"/>
    </row>
    <row r="5" spans="1:22" x14ac:dyDescent="0.3">
      <c r="A5" s="47">
        <v>45995</v>
      </c>
      <c r="B5" s="11">
        <f>4670.91+16827.9+39525</f>
        <v>61023.81</v>
      </c>
      <c r="C5" s="48">
        <f t="shared" si="0"/>
        <v>55476.190909090903</v>
      </c>
      <c r="D5" s="48">
        <f t="shared" si="1"/>
        <v>5547.619090909091</v>
      </c>
      <c r="E5" s="11">
        <f>6699.6+2707.16+9680</f>
        <v>19086.760000000002</v>
      </c>
      <c r="F5" s="48">
        <f t="shared" si="2"/>
        <v>15905.633333333335</v>
      </c>
      <c r="G5" s="48">
        <f t="shared" si="3"/>
        <v>3181.126666666667</v>
      </c>
      <c r="H5" s="11">
        <f>364.49+389.94+1725</f>
        <v>2479.4300000000003</v>
      </c>
      <c r="I5" s="48">
        <f t="shared" si="4"/>
        <v>2254.0272727272727</v>
      </c>
      <c r="J5" s="48">
        <f t="shared" si="5"/>
        <v>225.40272727272728</v>
      </c>
      <c r="K5" s="11">
        <f>1200+2000+5200</f>
        <v>8400</v>
      </c>
      <c r="L5" s="48">
        <f t="shared" si="6"/>
        <v>7000</v>
      </c>
      <c r="M5" s="48">
        <f t="shared" si="7"/>
        <v>1400</v>
      </c>
      <c r="N5" s="11">
        <f>5193</f>
        <v>5193</v>
      </c>
      <c r="O5" s="48">
        <f t="shared" si="8"/>
        <v>4327.5</v>
      </c>
      <c r="P5" s="48">
        <f t="shared" si="9"/>
        <v>865.5</v>
      </c>
      <c r="Q5" s="48">
        <f>0</f>
        <v>0</v>
      </c>
      <c r="R5" s="11">
        <f>12935+21925-7500+61323</f>
        <v>88683</v>
      </c>
      <c r="S5" s="11">
        <v>7500</v>
      </c>
      <c r="T5" s="48">
        <v>0</v>
      </c>
      <c r="U5" s="49">
        <f>10000+64663+24652</f>
        <v>99315</v>
      </c>
      <c r="V5" s="44"/>
    </row>
    <row r="6" spans="1:22" x14ac:dyDescent="0.3">
      <c r="A6" s="47">
        <v>45996</v>
      </c>
      <c r="B6" s="11">
        <f>29525</f>
        <v>29525</v>
      </c>
      <c r="C6" s="48">
        <f t="shared" si="0"/>
        <v>26840.909090909088</v>
      </c>
      <c r="D6" s="48">
        <f t="shared" si="1"/>
        <v>2684.090909090909</v>
      </c>
      <c r="E6" s="11">
        <f>7690+14070</f>
        <v>21760</v>
      </c>
      <c r="F6" s="48">
        <f t="shared" si="2"/>
        <v>18133.333333333336</v>
      </c>
      <c r="G6" s="48">
        <f t="shared" si="3"/>
        <v>3626.6666666666674</v>
      </c>
      <c r="H6" s="11">
        <f>1170+870</f>
        <v>2040</v>
      </c>
      <c r="I6" s="48">
        <f t="shared" si="4"/>
        <v>1854.5454545454545</v>
      </c>
      <c r="J6" s="48">
        <f t="shared" si="5"/>
        <v>185.45454545454547</v>
      </c>
      <c r="K6" s="11">
        <f>3400</f>
        <v>3400</v>
      </c>
      <c r="L6" s="48">
        <f t="shared" si="6"/>
        <v>2833.3333333333335</v>
      </c>
      <c r="M6" s="48">
        <f t="shared" si="7"/>
        <v>566.66666666666674</v>
      </c>
      <c r="N6" s="11">
        <f>886+4446.5</f>
        <v>5332.5</v>
      </c>
      <c r="O6" s="48">
        <f t="shared" si="8"/>
        <v>4443.75</v>
      </c>
      <c r="P6" s="48">
        <f t="shared" si="9"/>
        <v>888.75</v>
      </c>
      <c r="Q6" s="48">
        <f>0</f>
        <v>0</v>
      </c>
      <c r="R6" s="11">
        <f>9746+52311.5-8897.5</f>
        <v>53160</v>
      </c>
      <c r="S6" s="11">
        <v>8897.5</v>
      </c>
      <c r="T6" s="48">
        <v>0</v>
      </c>
      <c r="U6" s="49">
        <f>40000+90750+45728.5</f>
        <v>176478.5</v>
      </c>
      <c r="V6" s="44"/>
    </row>
    <row r="7" spans="1:22" x14ac:dyDescent="0.3">
      <c r="A7" s="47">
        <v>45997</v>
      </c>
      <c r="B7" s="11">
        <f>2900+10425+7625+54850+15100</f>
        <v>90900</v>
      </c>
      <c r="C7" s="48">
        <f t="shared" si="0"/>
        <v>82636.363636363632</v>
      </c>
      <c r="D7" s="48">
        <f t="shared" si="1"/>
        <v>8263.636363636364</v>
      </c>
      <c r="E7" s="11">
        <f>595+6225+8040+23105+8600</f>
        <v>46565</v>
      </c>
      <c r="F7" s="48">
        <f t="shared" si="2"/>
        <v>38804.166666666672</v>
      </c>
      <c r="G7" s="48">
        <f t="shared" si="3"/>
        <v>7760.8333333333348</v>
      </c>
      <c r="H7" s="11">
        <f>575+275+275+3950+200</f>
        <v>5275</v>
      </c>
      <c r="I7" s="48">
        <f t="shared" si="4"/>
        <v>4795.454545454545</v>
      </c>
      <c r="J7" s="48">
        <f t="shared" si="5"/>
        <v>479.5454545454545</v>
      </c>
      <c r="K7" s="11">
        <f>400+1800+800+8550+1200</f>
        <v>12750</v>
      </c>
      <c r="L7" s="48">
        <f t="shared" si="6"/>
        <v>10625</v>
      </c>
      <c r="M7" s="48">
        <f t="shared" si="7"/>
        <v>2125</v>
      </c>
      <c r="N7" s="11">
        <f>407+1692.5+1594+7613+2055.5</f>
        <v>13362</v>
      </c>
      <c r="O7" s="48">
        <f t="shared" si="8"/>
        <v>11135</v>
      </c>
      <c r="P7" s="48">
        <f t="shared" si="9"/>
        <v>2227</v>
      </c>
      <c r="Q7" s="11">
        <f>2685+3345</f>
        <v>6030</v>
      </c>
      <c r="R7" s="11">
        <f>4877+20417.5+18334-6477.5+95383-14142.5+23810.5</f>
        <v>142202</v>
      </c>
      <c r="S7" s="11">
        <f>6477.5+14142.5</f>
        <v>20620</v>
      </c>
      <c r="T7" s="48">
        <v>0</v>
      </c>
      <c r="U7" s="49">
        <f>10000+15857.5+59429+43000</f>
        <v>128286.5</v>
      </c>
      <c r="V7" s="44"/>
    </row>
    <row r="8" spans="1:22" x14ac:dyDescent="0.3">
      <c r="A8" s="47">
        <v>45998</v>
      </c>
      <c r="B8" s="11">
        <f>13565+86675</f>
        <v>100240</v>
      </c>
      <c r="C8" s="48">
        <f t="shared" si="0"/>
        <v>91127.272727272721</v>
      </c>
      <c r="D8" s="48">
        <f t="shared" si="1"/>
        <v>9112.7272727272721</v>
      </c>
      <c r="E8" s="11">
        <f>2150+6120</f>
        <v>8270</v>
      </c>
      <c r="F8" s="48">
        <f t="shared" si="2"/>
        <v>6891.666666666667</v>
      </c>
      <c r="G8" s="48">
        <f t="shared" si="3"/>
        <v>1378.3333333333335</v>
      </c>
      <c r="H8" s="11">
        <f>470+2135</f>
        <v>2605</v>
      </c>
      <c r="I8" s="48">
        <f t="shared" si="4"/>
        <v>2368.181818181818</v>
      </c>
      <c r="J8" s="48">
        <f t="shared" si="5"/>
        <v>236.81818181818181</v>
      </c>
      <c r="K8" s="11">
        <f>1000+4200</f>
        <v>5200</v>
      </c>
      <c r="L8" s="48">
        <f t="shared" si="6"/>
        <v>4333.3333333333339</v>
      </c>
      <c r="M8" s="48">
        <f t="shared" si="7"/>
        <v>866.66666666666686</v>
      </c>
      <c r="N8" s="11">
        <f>679.5+4450</f>
        <v>5129.5</v>
      </c>
      <c r="O8" s="48">
        <f t="shared" si="8"/>
        <v>4274.5833333333339</v>
      </c>
      <c r="P8" s="48">
        <f t="shared" si="9"/>
        <v>854.91666666666686</v>
      </c>
      <c r="Q8" s="48">
        <f>0</f>
        <v>0</v>
      </c>
      <c r="R8" s="11">
        <f>17864.5-5000+103580-7810</f>
        <v>108634.5</v>
      </c>
      <c r="S8" s="11">
        <f>5000+7810</f>
        <v>12810</v>
      </c>
      <c r="T8" s="48">
        <v>0</v>
      </c>
      <c r="U8" s="49">
        <v>12860</v>
      </c>
      <c r="V8" s="44"/>
    </row>
    <row r="9" spans="1:22" x14ac:dyDescent="0.3">
      <c r="A9" s="47">
        <v>46000</v>
      </c>
      <c r="B9" s="11">
        <f>23700+7799.45</f>
        <v>31499.45</v>
      </c>
      <c r="C9" s="48">
        <f t="shared" si="0"/>
        <v>28635.863636363636</v>
      </c>
      <c r="D9" s="48">
        <f t="shared" si="1"/>
        <v>2863.5863636363638</v>
      </c>
      <c r="E9" s="11">
        <f>13135+5863+8836.43</f>
        <v>27834.43</v>
      </c>
      <c r="F9" s="48">
        <f t="shared" si="2"/>
        <v>23195.358333333334</v>
      </c>
      <c r="G9" s="48">
        <f t="shared" si="3"/>
        <v>4639.0716666666667</v>
      </c>
      <c r="H9" s="11">
        <f>590+137+329.12</f>
        <v>1056.1199999999999</v>
      </c>
      <c r="I9" s="48">
        <f t="shared" si="4"/>
        <v>960.1090909090907</v>
      </c>
      <c r="J9" s="48">
        <f t="shared" si="5"/>
        <v>96.010909090909081</v>
      </c>
      <c r="K9" s="11">
        <f>2600+1400</f>
        <v>4000</v>
      </c>
      <c r="L9" s="48">
        <f t="shared" si="6"/>
        <v>3333.3333333333335</v>
      </c>
      <c r="M9" s="48">
        <f t="shared" si="7"/>
        <v>666.66666666666674</v>
      </c>
      <c r="N9" s="11">
        <f>3742.5+1036.5</f>
        <v>4779</v>
      </c>
      <c r="O9" s="48">
        <f t="shared" si="8"/>
        <v>3982.5</v>
      </c>
      <c r="P9" s="48">
        <f t="shared" si="9"/>
        <v>796.5</v>
      </c>
      <c r="Q9" s="11">
        <f>2000</f>
        <v>2000</v>
      </c>
      <c r="R9" s="11">
        <f>43767.5+4000+19401.5-6804</f>
        <v>60365</v>
      </c>
      <c r="S9" s="11">
        <v>6804</v>
      </c>
      <c r="T9" s="48">
        <v>0</v>
      </c>
      <c r="U9" s="49">
        <f>40973.5+10150+32959.5</f>
        <v>84083</v>
      </c>
      <c r="V9" s="44"/>
    </row>
    <row r="10" spans="1:22" x14ac:dyDescent="0.3">
      <c r="A10" s="47">
        <v>46001</v>
      </c>
      <c r="B10" s="11">
        <f>34250+5225</f>
        <v>39475</v>
      </c>
      <c r="C10" s="48">
        <f t="shared" si="0"/>
        <v>35886.363636363632</v>
      </c>
      <c r="D10" s="48">
        <f t="shared" si="1"/>
        <v>3588.6363636363635</v>
      </c>
      <c r="E10" s="11">
        <f>9415+1710</f>
        <v>11125</v>
      </c>
      <c r="F10" s="48">
        <f t="shared" si="2"/>
        <v>9270.8333333333339</v>
      </c>
      <c r="G10" s="48">
        <f t="shared" si="3"/>
        <v>1854.166666666667</v>
      </c>
      <c r="H10" s="11">
        <f>1250+180</f>
        <v>1430</v>
      </c>
      <c r="I10" s="48">
        <f t="shared" si="4"/>
        <v>1300</v>
      </c>
      <c r="J10" s="48">
        <f t="shared" si="5"/>
        <v>130</v>
      </c>
      <c r="K10" s="11">
        <f>3600+600</f>
        <v>4200</v>
      </c>
      <c r="L10" s="48">
        <f t="shared" si="6"/>
        <v>3500</v>
      </c>
      <c r="M10" s="48">
        <f t="shared" si="7"/>
        <v>700</v>
      </c>
      <c r="N10" s="11">
        <f>4081.5+711.5</f>
        <v>4793</v>
      </c>
      <c r="O10" s="48">
        <f t="shared" si="8"/>
        <v>3994.166666666667</v>
      </c>
      <c r="P10" s="48">
        <f t="shared" si="9"/>
        <v>798.83333333333348</v>
      </c>
      <c r="Q10" s="11">
        <v>4500</v>
      </c>
      <c r="R10" s="11">
        <f>48096.5+8426.5</f>
        <v>56523</v>
      </c>
      <c r="S10" s="48">
        <v>0</v>
      </c>
      <c r="T10" s="48">
        <v>0</v>
      </c>
      <c r="U10" s="49">
        <v>0</v>
      </c>
      <c r="V10" s="44"/>
    </row>
    <row r="11" spans="1:22" ht="13.95" customHeight="1" x14ac:dyDescent="0.3">
      <c r="A11" s="47">
        <v>46002</v>
      </c>
      <c r="B11" s="11">
        <f>11175+6775+18975</f>
        <v>36925</v>
      </c>
      <c r="C11" s="48">
        <f t="shared" si="0"/>
        <v>33568.181818181816</v>
      </c>
      <c r="D11" s="48">
        <f t="shared" si="1"/>
        <v>3356.818181818182</v>
      </c>
      <c r="E11" s="11">
        <f>3015+1400+14235</f>
        <v>18650</v>
      </c>
      <c r="F11" s="48">
        <f t="shared" si="2"/>
        <v>15541.666666666668</v>
      </c>
      <c r="G11" s="48">
        <f t="shared" si="3"/>
        <v>3108.3333333333339</v>
      </c>
      <c r="H11" s="11">
        <f>670+850+180</f>
        <v>1700</v>
      </c>
      <c r="I11" s="48">
        <f t="shared" si="4"/>
        <v>1545.4545454545453</v>
      </c>
      <c r="J11" s="48">
        <f t="shared" si="5"/>
        <v>154.54545454545453</v>
      </c>
      <c r="K11" s="11">
        <f>2100+400+2400</f>
        <v>4900</v>
      </c>
      <c r="L11" s="48">
        <f t="shared" si="6"/>
        <v>4083.3333333333335</v>
      </c>
      <c r="M11" s="48">
        <f t="shared" si="7"/>
        <v>816.66666666666674</v>
      </c>
      <c r="N11" s="11">
        <f>1536+732.5+3339</f>
        <v>5607.5</v>
      </c>
      <c r="O11" s="48">
        <f t="shared" si="8"/>
        <v>4672.916666666667</v>
      </c>
      <c r="P11" s="48">
        <f t="shared" si="9"/>
        <v>934.58333333333348</v>
      </c>
      <c r="Q11" s="11">
        <f>1700</f>
        <v>1700</v>
      </c>
      <c r="R11" s="11">
        <f>18496+8457.5+39129-6406</f>
        <v>59676.5</v>
      </c>
      <c r="S11" s="11">
        <v>6406</v>
      </c>
      <c r="T11" s="48">
        <v>0</v>
      </c>
      <c r="U11" s="49">
        <f>29725+23000</f>
        <v>52725</v>
      </c>
      <c r="V11" s="44"/>
    </row>
    <row r="12" spans="1:22" x14ac:dyDescent="0.3">
      <c r="A12" s="47">
        <v>46003</v>
      </c>
      <c r="B12" s="11">
        <f>67716.66+5701.29</f>
        <v>73417.95</v>
      </c>
      <c r="C12" s="48">
        <f t="shared" si="0"/>
        <v>66743.590909090897</v>
      </c>
      <c r="D12" s="48">
        <f t="shared" si="1"/>
        <v>6674.3590909090899</v>
      </c>
      <c r="E12" s="11">
        <f>28993.34+3634.76</f>
        <v>32628.1</v>
      </c>
      <c r="F12" s="48">
        <f t="shared" si="2"/>
        <v>27190.083333333332</v>
      </c>
      <c r="G12" s="48">
        <f t="shared" si="3"/>
        <v>5438.0166666666664</v>
      </c>
      <c r="H12" s="11">
        <f>2165+243.95</f>
        <v>2408.9499999999998</v>
      </c>
      <c r="I12" s="48">
        <f t="shared" si="4"/>
        <v>2189.954545454545</v>
      </c>
      <c r="J12" s="48">
        <f t="shared" si="5"/>
        <v>218.99545454545452</v>
      </c>
      <c r="K12" s="11">
        <f>7200+1000</f>
        <v>8200</v>
      </c>
      <c r="L12" s="48">
        <f t="shared" si="6"/>
        <v>6833.3333333333339</v>
      </c>
      <c r="M12" s="48">
        <f t="shared" si="7"/>
        <v>1366.666666666667</v>
      </c>
      <c r="N12" s="11">
        <f>8303+418</f>
        <v>8721</v>
      </c>
      <c r="O12" s="48">
        <f t="shared" si="8"/>
        <v>7267.5</v>
      </c>
      <c r="P12" s="48">
        <f t="shared" si="9"/>
        <v>1453.5</v>
      </c>
      <c r="Q12" s="48">
        <f>0</f>
        <v>0</v>
      </c>
      <c r="R12" s="11">
        <f>114378-16920+10998</f>
        <v>108456</v>
      </c>
      <c r="S12" s="11">
        <v>16920</v>
      </c>
      <c r="T12" s="48">
        <v>0</v>
      </c>
      <c r="U12" s="49">
        <v>110907.5</v>
      </c>
      <c r="V12" s="44"/>
    </row>
    <row r="13" spans="1:22" x14ac:dyDescent="0.3">
      <c r="A13" s="47">
        <v>46004</v>
      </c>
      <c r="B13" s="11">
        <f>99050+4100</f>
        <v>103150</v>
      </c>
      <c r="C13" s="48">
        <f t="shared" si="0"/>
        <v>93772.727272727265</v>
      </c>
      <c r="D13" s="48">
        <f t="shared" si="1"/>
        <v>9377.2727272727261</v>
      </c>
      <c r="E13" s="11">
        <f>30915+4200</f>
        <v>35115</v>
      </c>
      <c r="F13" s="48">
        <f t="shared" si="2"/>
        <v>29262.5</v>
      </c>
      <c r="G13" s="48">
        <f t="shared" si="3"/>
        <v>5852.5</v>
      </c>
      <c r="H13" s="11">
        <f>960</f>
        <v>960</v>
      </c>
      <c r="I13" s="48">
        <f t="shared" si="4"/>
        <v>872.72727272727263</v>
      </c>
      <c r="J13" s="48">
        <f t="shared" si="5"/>
        <v>87.272727272727266</v>
      </c>
      <c r="K13" s="11">
        <f>10200+400</f>
        <v>10600</v>
      </c>
      <c r="L13" s="48">
        <f t="shared" si="6"/>
        <v>8833.3333333333339</v>
      </c>
      <c r="M13" s="48">
        <f t="shared" si="7"/>
        <v>1766.666666666667</v>
      </c>
      <c r="N13" s="11">
        <f>10019+830</f>
        <v>10849</v>
      </c>
      <c r="O13" s="48">
        <f t="shared" si="8"/>
        <v>9040.8333333333339</v>
      </c>
      <c r="P13" s="48">
        <f t="shared" si="9"/>
        <v>1808.166666666667</v>
      </c>
      <c r="Q13" s="11">
        <f>5885</f>
        <v>5885</v>
      </c>
      <c r="R13" s="11">
        <f>145259-20420.5</f>
        <v>124838.5</v>
      </c>
      <c r="S13" s="11">
        <f>20420.5+9530</f>
        <v>29950.5</v>
      </c>
      <c r="T13" s="48">
        <v>0</v>
      </c>
      <c r="U13" s="49">
        <f>98199.5+6492.5+4000</f>
        <v>108692</v>
      </c>
      <c r="V13" s="44"/>
    </row>
    <row r="14" spans="1:22" x14ac:dyDescent="0.3">
      <c r="A14" s="47">
        <v>46005</v>
      </c>
      <c r="B14" s="11">
        <v>73620.84</v>
      </c>
      <c r="C14" s="48">
        <f t="shared" si="0"/>
        <v>66928.036363636362</v>
      </c>
      <c r="D14" s="48">
        <f t="shared" si="1"/>
        <v>6692.8036363636365</v>
      </c>
      <c r="E14" s="11">
        <v>7676.35</v>
      </c>
      <c r="F14" s="48">
        <f t="shared" si="2"/>
        <v>6396.9583333333339</v>
      </c>
      <c r="G14" s="48">
        <f t="shared" si="3"/>
        <v>1279.3916666666669</v>
      </c>
      <c r="H14" s="11">
        <v>5641.81</v>
      </c>
      <c r="I14" s="48">
        <f t="shared" si="4"/>
        <v>5128.9181818181814</v>
      </c>
      <c r="J14" s="48">
        <f t="shared" si="5"/>
        <v>512.89181818181817</v>
      </c>
      <c r="K14" s="11">
        <v>5500</v>
      </c>
      <c r="L14" s="48">
        <f t="shared" si="6"/>
        <v>4583.3333333333339</v>
      </c>
      <c r="M14" s="48">
        <f t="shared" si="7"/>
        <v>916.66666666666686</v>
      </c>
      <c r="N14" s="11">
        <v>5438</v>
      </c>
      <c r="O14" s="48">
        <f t="shared" si="8"/>
        <v>4531.666666666667</v>
      </c>
      <c r="P14" s="48">
        <f t="shared" si="9"/>
        <v>906.33333333333348</v>
      </c>
      <c r="Q14" s="48">
        <v>0</v>
      </c>
      <c r="R14" s="11">
        <f>97877-8500</f>
        <v>89377</v>
      </c>
      <c r="S14" s="11">
        <v>8500</v>
      </c>
      <c r="T14" s="48">
        <v>0</v>
      </c>
      <c r="U14" s="49">
        <v>99814.5</v>
      </c>
      <c r="V14" s="44"/>
    </row>
    <row r="15" spans="1:22" x14ac:dyDescent="0.3">
      <c r="A15" s="47">
        <v>46007</v>
      </c>
      <c r="B15" s="11">
        <f>9475</f>
        <v>9475</v>
      </c>
      <c r="C15" s="48">
        <f t="shared" si="0"/>
        <v>8613.6363636363621</v>
      </c>
      <c r="D15" s="48">
        <f t="shared" si="1"/>
        <v>861.36363636363626</v>
      </c>
      <c r="E15" s="11">
        <f>3725+3670+6375</f>
        <v>13770</v>
      </c>
      <c r="F15" s="48">
        <f t="shared" si="2"/>
        <v>11475</v>
      </c>
      <c r="G15" s="48">
        <f t="shared" si="3"/>
        <v>2295</v>
      </c>
      <c r="H15" s="11">
        <f>95+95</f>
        <v>190</v>
      </c>
      <c r="I15" s="48">
        <f t="shared" si="4"/>
        <v>172.72727272727272</v>
      </c>
      <c r="J15" s="48">
        <f t="shared" si="5"/>
        <v>17.272727272727273</v>
      </c>
      <c r="K15" s="11">
        <f>1200</f>
        <v>1200</v>
      </c>
      <c r="L15" s="48">
        <f t="shared" si="6"/>
        <v>1000</v>
      </c>
      <c r="M15" s="48">
        <f t="shared" si="7"/>
        <v>200</v>
      </c>
      <c r="N15" s="11">
        <v>1557.5</v>
      </c>
      <c r="O15" s="48">
        <f t="shared" si="8"/>
        <v>1297.9166666666667</v>
      </c>
      <c r="P15" s="48">
        <f t="shared" si="9"/>
        <v>259.58333333333337</v>
      </c>
      <c r="Q15" s="48">
        <v>0</v>
      </c>
      <c r="R15" s="11">
        <f>3820+3765+18607.5</f>
        <v>26192.5</v>
      </c>
      <c r="S15" s="48">
        <v>0</v>
      </c>
      <c r="T15" s="48">
        <v>11525</v>
      </c>
      <c r="U15" s="49">
        <f>2800+71296.5</f>
        <v>74096.5</v>
      </c>
      <c r="V15" s="44"/>
    </row>
    <row r="16" spans="1:22" x14ac:dyDescent="0.3">
      <c r="A16" s="47">
        <v>46008</v>
      </c>
      <c r="B16" s="11">
        <f>56079.27+1350</f>
        <v>57429.27</v>
      </c>
      <c r="C16" s="48">
        <f t="shared" si="0"/>
        <v>52208.427272727269</v>
      </c>
      <c r="D16" s="48">
        <f t="shared" si="1"/>
        <v>5220.8427272727276</v>
      </c>
      <c r="E16" s="11">
        <v>26607.23</v>
      </c>
      <c r="F16" s="48">
        <f t="shared" si="2"/>
        <v>22172.691666666666</v>
      </c>
      <c r="G16" s="48">
        <f t="shared" si="3"/>
        <v>4434.538333333333</v>
      </c>
      <c r="H16" s="11">
        <v>2890</v>
      </c>
      <c r="I16" s="48">
        <f t="shared" si="4"/>
        <v>2627.272727272727</v>
      </c>
      <c r="J16" s="48">
        <f t="shared" si="5"/>
        <v>262.72727272727269</v>
      </c>
      <c r="K16" s="11">
        <v>3400</v>
      </c>
      <c r="L16" s="48">
        <f t="shared" si="6"/>
        <v>2833.3333333333335</v>
      </c>
      <c r="M16" s="48">
        <f t="shared" si="7"/>
        <v>566.66666666666674</v>
      </c>
      <c r="N16" s="11">
        <v>6316</v>
      </c>
      <c r="O16" s="48">
        <f t="shared" si="8"/>
        <v>5263.3333333333339</v>
      </c>
      <c r="P16" s="48">
        <f t="shared" si="9"/>
        <v>1052.6666666666667</v>
      </c>
      <c r="Q16" s="11">
        <v>1350</v>
      </c>
      <c r="R16" s="11">
        <f>95292.5-4778</f>
        <v>90514.5</v>
      </c>
      <c r="S16" s="11">
        <v>4778</v>
      </c>
      <c r="U16" s="48">
        <f>63394.5+20000</f>
        <v>83394.5</v>
      </c>
      <c r="V16" s="44"/>
    </row>
    <row r="17" spans="1:22" x14ac:dyDescent="0.3">
      <c r="A17" s="47">
        <v>46009</v>
      </c>
      <c r="B17" s="11">
        <f>9311.15</f>
        <v>9311.15</v>
      </c>
      <c r="C17" s="48">
        <f t="shared" si="0"/>
        <v>8464.681818181818</v>
      </c>
      <c r="D17" s="48">
        <f t="shared" si="1"/>
        <v>846.46818181818185</v>
      </c>
      <c r="E17" s="11">
        <v>5526.35</v>
      </c>
      <c r="F17" s="48">
        <f t="shared" si="2"/>
        <v>4605.291666666667</v>
      </c>
      <c r="G17" s="48">
        <f t="shared" si="3"/>
        <v>921.05833333333339</v>
      </c>
      <c r="H17" s="48">
        <v>0</v>
      </c>
      <c r="I17" s="48">
        <f t="shared" si="4"/>
        <v>0</v>
      </c>
      <c r="J17" s="48">
        <f t="shared" si="5"/>
        <v>0</v>
      </c>
      <c r="K17" s="11">
        <v>800</v>
      </c>
      <c r="L17" s="48">
        <f t="shared" si="6"/>
        <v>666.66666666666674</v>
      </c>
      <c r="M17" s="48">
        <f t="shared" si="7"/>
        <v>133.33333333333334</v>
      </c>
      <c r="N17" s="11">
        <v>1496</v>
      </c>
      <c r="O17" s="48">
        <f t="shared" si="8"/>
        <v>1246.6666666666667</v>
      </c>
      <c r="P17" s="48">
        <f t="shared" si="9"/>
        <v>249.33333333333337</v>
      </c>
      <c r="Q17" s="48">
        <v>0</v>
      </c>
      <c r="R17" s="11">
        <f>17133.5-7905</f>
        <v>9228.5</v>
      </c>
      <c r="S17" s="11">
        <v>7905</v>
      </c>
      <c r="T17" s="48">
        <v>5716</v>
      </c>
      <c r="U17" s="49">
        <f>75000+85793</f>
        <v>160793</v>
      </c>
      <c r="V17" s="44" t="s">
        <v>89</v>
      </c>
    </row>
    <row r="18" spans="1:22" x14ac:dyDescent="0.3">
      <c r="A18" s="47">
        <v>46010</v>
      </c>
      <c r="B18" s="48"/>
      <c r="C18" s="48">
        <f t="shared" si="0"/>
        <v>0</v>
      </c>
      <c r="D18" s="48">
        <f t="shared" si="1"/>
        <v>0</v>
      </c>
      <c r="E18" s="48"/>
      <c r="F18" s="48">
        <f t="shared" si="2"/>
        <v>0</v>
      </c>
      <c r="G18" s="48">
        <f t="shared" si="3"/>
        <v>0</v>
      </c>
      <c r="H18" s="48"/>
      <c r="I18" s="48">
        <f t="shared" si="4"/>
        <v>0</v>
      </c>
      <c r="J18" s="48">
        <f t="shared" si="5"/>
        <v>0</v>
      </c>
      <c r="K18" s="48"/>
      <c r="L18" s="48">
        <f t="shared" si="6"/>
        <v>0</v>
      </c>
      <c r="M18" s="48">
        <f t="shared" si="7"/>
        <v>0</v>
      </c>
      <c r="N18" s="48"/>
      <c r="O18" s="48">
        <f t="shared" si="8"/>
        <v>0</v>
      </c>
      <c r="P18" s="48">
        <f t="shared" si="9"/>
        <v>0</v>
      </c>
      <c r="Q18" s="48"/>
      <c r="R18" s="48"/>
      <c r="S18" s="48"/>
      <c r="T18" s="48"/>
      <c r="U18" s="49"/>
      <c r="V18" s="71" t="s">
        <v>90</v>
      </c>
    </row>
    <row r="19" spans="1:22" x14ac:dyDescent="0.3">
      <c r="A19" s="47">
        <v>46011</v>
      </c>
      <c r="B19" s="11">
        <f>56424.44+4854.75</f>
        <v>61279.19</v>
      </c>
      <c r="C19" s="48">
        <f t="shared" si="0"/>
        <v>55708.354545454546</v>
      </c>
      <c r="D19" s="48">
        <f t="shared" si="1"/>
        <v>5570.8354545454549</v>
      </c>
      <c r="E19" s="11">
        <f>20630.56+14832.75</f>
        <v>35463.31</v>
      </c>
      <c r="F19" s="48">
        <f t="shared" si="2"/>
        <v>29552.758333333331</v>
      </c>
      <c r="G19" s="48">
        <f t="shared" si="3"/>
        <v>5910.5516666666663</v>
      </c>
      <c r="H19" s="11">
        <f>840</f>
        <v>840</v>
      </c>
      <c r="I19" s="48">
        <f t="shared" si="4"/>
        <v>763.63636363636363</v>
      </c>
      <c r="J19" s="48">
        <f t="shared" si="5"/>
        <v>76.36363636363636</v>
      </c>
      <c r="K19" s="11">
        <f>4000+2250</f>
        <v>6250</v>
      </c>
      <c r="L19" s="48">
        <f t="shared" si="6"/>
        <v>5208.3333333333339</v>
      </c>
      <c r="M19" s="48">
        <f t="shared" si="7"/>
        <v>1041.6666666666667</v>
      </c>
      <c r="N19" s="11">
        <f>6362.5+1717.5</f>
        <v>8080</v>
      </c>
      <c r="O19" s="48">
        <f t="shared" si="8"/>
        <v>6733.3333333333339</v>
      </c>
      <c r="P19" s="48">
        <f t="shared" si="9"/>
        <v>1346.666666666667</v>
      </c>
      <c r="Q19" s="48">
        <f>0</f>
        <v>0</v>
      </c>
      <c r="R19" s="11">
        <f>88257.5-2000+23655</f>
        <v>109912.5</v>
      </c>
      <c r="S19" s="11">
        <v>2000</v>
      </c>
      <c r="T19" s="48">
        <v>4381.6000000000004</v>
      </c>
      <c r="U19" s="49">
        <f>177214.9+2602+109806.5</f>
        <v>289623.40000000002</v>
      </c>
      <c r="V19" s="44"/>
    </row>
    <row r="20" spans="1:22" x14ac:dyDescent="0.3">
      <c r="A20" s="47">
        <v>46012</v>
      </c>
      <c r="B20" s="11">
        <v>20136.689999999999</v>
      </c>
      <c r="C20" s="48">
        <f t="shared" si="0"/>
        <v>18306.081818181814</v>
      </c>
      <c r="D20" s="48">
        <f t="shared" si="1"/>
        <v>1830.6081818181815</v>
      </c>
      <c r="E20" s="11">
        <v>9849.7900000000009</v>
      </c>
      <c r="F20" s="48">
        <f t="shared" si="2"/>
        <v>8208.1583333333347</v>
      </c>
      <c r="G20" s="48">
        <f t="shared" si="3"/>
        <v>1641.6316666666671</v>
      </c>
      <c r="H20" s="11">
        <v>690.27</v>
      </c>
      <c r="I20" s="48">
        <f t="shared" si="4"/>
        <v>627.5181818181818</v>
      </c>
      <c r="J20" s="48">
        <f t="shared" si="5"/>
        <v>62.75181818181818</v>
      </c>
      <c r="K20" s="11">
        <v>2400</v>
      </c>
      <c r="L20" s="48">
        <f t="shared" si="6"/>
        <v>2000</v>
      </c>
      <c r="M20" s="48">
        <f t="shared" si="7"/>
        <v>400</v>
      </c>
      <c r="N20" s="11">
        <v>3080.25</v>
      </c>
      <c r="O20" s="48">
        <f t="shared" si="8"/>
        <v>2566.875</v>
      </c>
      <c r="P20" s="48">
        <f t="shared" si="9"/>
        <v>513.375</v>
      </c>
      <c r="Q20" s="48">
        <v>0</v>
      </c>
      <c r="R20" s="11">
        <f>36157-17608.5</f>
        <v>18548.5</v>
      </c>
      <c r="S20" s="11">
        <v>17608.5</v>
      </c>
      <c r="T20" s="48">
        <v>0</v>
      </c>
      <c r="U20" s="49">
        <v>75045.5</v>
      </c>
      <c r="V20" s="44"/>
    </row>
    <row r="21" spans="1:22" x14ac:dyDescent="0.3">
      <c r="A21" s="47">
        <v>46014</v>
      </c>
      <c r="B21" s="11">
        <v>32180.11</v>
      </c>
      <c r="C21" s="48">
        <f t="shared" si="0"/>
        <v>29254.645454545454</v>
      </c>
      <c r="D21" s="48">
        <f t="shared" si="1"/>
        <v>2925.4645454545457</v>
      </c>
      <c r="E21" s="11">
        <v>7445.6</v>
      </c>
      <c r="F21" s="48">
        <f t="shared" si="2"/>
        <v>6204.666666666667</v>
      </c>
      <c r="G21" s="48">
        <f t="shared" si="3"/>
        <v>1240.9333333333334</v>
      </c>
      <c r="H21" s="11">
        <v>1214.79</v>
      </c>
      <c r="I21" s="48">
        <f t="shared" si="4"/>
        <v>1104.3545454545454</v>
      </c>
      <c r="J21" s="48">
        <f t="shared" si="5"/>
        <v>110.43545454545455</v>
      </c>
      <c r="K21" s="11">
        <v>3000</v>
      </c>
      <c r="L21" s="48">
        <f t="shared" si="6"/>
        <v>2500</v>
      </c>
      <c r="M21" s="48">
        <f t="shared" si="7"/>
        <v>500</v>
      </c>
      <c r="N21" s="11">
        <v>2608</v>
      </c>
      <c r="O21" s="48">
        <f t="shared" si="8"/>
        <v>2173.3333333333335</v>
      </c>
      <c r="P21" s="48">
        <f t="shared" si="9"/>
        <v>434.66666666666674</v>
      </c>
      <c r="Q21" s="11">
        <v>12375</v>
      </c>
      <c r="R21" s="11">
        <f>34073.5-5170</f>
        <v>28903.5</v>
      </c>
      <c r="S21" s="11">
        <v>5170</v>
      </c>
      <c r="T21" s="48">
        <v>1386</v>
      </c>
      <c r="U21" s="49">
        <v>140105</v>
      </c>
      <c r="V21" s="44"/>
    </row>
    <row r="22" spans="1:22" x14ac:dyDescent="0.3">
      <c r="A22" s="47">
        <v>46015</v>
      </c>
      <c r="B22" s="11">
        <f>32950+450</f>
        <v>33400</v>
      </c>
      <c r="C22" s="48">
        <f t="shared" si="0"/>
        <v>30363.63636363636</v>
      </c>
      <c r="D22" s="48">
        <f t="shared" si="1"/>
        <v>3036.363636363636</v>
      </c>
      <c r="E22" s="11">
        <f>9355+7825</f>
        <v>17180</v>
      </c>
      <c r="F22" s="48">
        <f t="shared" si="2"/>
        <v>14316.666666666668</v>
      </c>
      <c r="G22" s="48">
        <f t="shared" si="3"/>
        <v>2863.3333333333339</v>
      </c>
      <c r="H22" s="11">
        <f>660</f>
        <v>660</v>
      </c>
      <c r="I22" s="48">
        <f t="shared" si="4"/>
        <v>600</v>
      </c>
      <c r="J22" s="48">
        <f t="shared" si="5"/>
        <v>60</v>
      </c>
      <c r="K22" s="11">
        <f>3200</f>
        <v>3200</v>
      </c>
      <c r="L22" s="48">
        <f t="shared" si="6"/>
        <v>2666.666666666667</v>
      </c>
      <c r="M22" s="48">
        <f t="shared" si="7"/>
        <v>533.33333333333337</v>
      </c>
      <c r="N22" s="11">
        <f>4296.5+827.5</f>
        <v>5124</v>
      </c>
      <c r="O22" s="48">
        <f t="shared" si="8"/>
        <v>4270</v>
      </c>
      <c r="P22" s="48">
        <f t="shared" si="9"/>
        <v>854</v>
      </c>
      <c r="Q22" s="48">
        <v>0</v>
      </c>
      <c r="R22" s="11">
        <f>50461.5+9102.5</f>
        <v>59564</v>
      </c>
      <c r="S22" s="48">
        <v>0</v>
      </c>
      <c r="T22" s="48">
        <v>7560</v>
      </c>
      <c r="U22" s="49">
        <f>63640+79200</f>
        <v>142840</v>
      </c>
      <c r="V22" s="44"/>
    </row>
    <row r="23" spans="1:22" x14ac:dyDescent="0.3">
      <c r="A23" s="47">
        <v>46016</v>
      </c>
      <c r="B23" s="11">
        <v>20325</v>
      </c>
      <c r="C23" s="48">
        <f t="shared" si="0"/>
        <v>18477.272727272724</v>
      </c>
      <c r="D23" s="48">
        <f t="shared" si="1"/>
        <v>1847.7272727272725</v>
      </c>
      <c r="E23" s="11">
        <v>3620</v>
      </c>
      <c r="F23" s="48">
        <f t="shared" si="2"/>
        <v>3016.666666666667</v>
      </c>
      <c r="G23" s="48">
        <f t="shared" si="3"/>
        <v>603.33333333333337</v>
      </c>
      <c r="H23" s="11">
        <v>765</v>
      </c>
      <c r="I23" s="48">
        <f t="shared" si="4"/>
        <v>695.45454545454538</v>
      </c>
      <c r="J23" s="48">
        <f t="shared" si="5"/>
        <v>69.545454545454547</v>
      </c>
      <c r="K23" s="11">
        <v>2000</v>
      </c>
      <c r="L23" s="48">
        <f t="shared" si="6"/>
        <v>1666.6666666666667</v>
      </c>
      <c r="M23" s="48">
        <f t="shared" si="7"/>
        <v>333.33333333333337</v>
      </c>
      <c r="N23" s="11">
        <v>1833.5</v>
      </c>
      <c r="O23" s="48">
        <f t="shared" si="8"/>
        <v>1527.9166666666667</v>
      </c>
      <c r="P23" s="48">
        <f t="shared" si="9"/>
        <v>305.58333333333337</v>
      </c>
      <c r="Q23" s="11">
        <v>6775</v>
      </c>
      <c r="R23" s="11">
        <f>21768.5-4822</f>
        <v>16946.5</v>
      </c>
      <c r="S23" s="11">
        <v>4822</v>
      </c>
      <c r="T23" s="48">
        <v>0</v>
      </c>
      <c r="U23" s="49">
        <v>90874.5</v>
      </c>
      <c r="V23" s="44"/>
    </row>
    <row r="24" spans="1:22" x14ac:dyDescent="0.3">
      <c r="A24" s="47">
        <v>46017</v>
      </c>
      <c r="B24" s="11">
        <f>2950+49448.87</f>
        <v>52398.87</v>
      </c>
      <c r="C24" s="48">
        <f t="shared" si="0"/>
        <v>47635.336363636365</v>
      </c>
      <c r="D24" s="48">
        <f t="shared" si="1"/>
        <v>4763.533636363637</v>
      </c>
      <c r="E24" s="11">
        <f>3420+22125.13</f>
        <v>25545.13</v>
      </c>
      <c r="F24" s="48">
        <f t="shared" si="2"/>
        <v>21287.608333333334</v>
      </c>
      <c r="G24" s="48">
        <f t="shared" si="3"/>
        <v>4257.5216666666665</v>
      </c>
      <c r="H24" s="11">
        <f>90</f>
        <v>90</v>
      </c>
      <c r="I24" s="48">
        <f t="shared" si="4"/>
        <v>81.818181818181813</v>
      </c>
      <c r="J24" s="48">
        <f t="shared" si="5"/>
        <v>8.1818181818181817</v>
      </c>
      <c r="K24" s="11">
        <f>600+4400</f>
        <v>5000</v>
      </c>
      <c r="L24" s="48">
        <f t="shared" si="6"/>
        <v>4166.666666666667</v>
      </c>
      <c r="M24" s="48">
        <f t="shared" si="7"/>
        <v>833.33333333333348</v>
      </c>
      <c r="N24" s="11">
        <f>940+5570</f>
        <v>6510</v>
      </c>
      <c r="O24" s="48">
        <f t="shared" si="8"/>
        <v>5425</v>
      </c>
      <c r="P24" s="48">
        <f t="shared" si="9"/>
        <v>1085</v>
      </c>
      <c r="Q24" s="48">
        <v>0</v>
      </c>
      <c r="R24" s="11">
        <f>8000+81544-7150</f>
        <v>82394</v>
      </c>
      <c r="S24" s="11">
        <v>7150</v>
      </c>
      <c r="T24" s="48">
        <v>0</v>
      </c>
      <c r="U24" s="49">
        <v>84510</v>
      </c>
      <c r="V24" s="44"/>
    </row>
    <row r="25" spans="1:22" x14ac:dyDescent="0.3">
      <c r="A25" s="47">
        <v>46018</v>
      </c>
      <c r="B25" s="11">
        <f>94925.55+3298.15</f>
        <v>98223.7</v>
      </c>
      <c r="C25" s="48">
        <f t="shared" si="0"/>
        <v>89294.272727272721</v>
      </c>
      <c r="D25" s="48">
        <f t="shared" si="1"/>
        <v>8929.4272727272728</v>
      </c>
      <c r="E25" s="11">
        <f>40543.33+3657.95</f>
        <v>44201.279999999999</v>
      </c>
      <c r="F25" s="48">
        <f t="shared" si="2"/>
        <v>36834.400000000001</v>
      </c>
      <c r="G25" s="48">
        <f t="shared" si="3"/>
        <v>7366.880000000001</v>
      </c>
      <c r="H25" s="11">
        <f>1380.92+179.9</f>
        <v>1560.8200000000002</v>
      </c>
      <c r="I25" s="48">
        <f t="shared" si="4"/>
        <v>1418.9272727272728</v>
      </c>
      <c r="J25" s="48">
        <f t="shared" si="5"/>
        <v>141.89272727272729</v>
      </c>
      <c r="K25" s="11">
        <f>11950+400</f>
        <v>12350</v>
      </c>
      <c r="L25" s="48">
        <f t="shared" si="6"/>
        <v>10291.666666666668</v>
      </c>
      <c r="M25" s="48">
        <f t="shared" si="7"/>
        <v>2058.3333333333335</v>
      </c>
      <c r="N25" s="11">
        <f>13588.5+396.2+714</f>
        <v>14698.7</v>
      </c>
      <c r="O25" s="48">
        <f t="shared" si="8"/>
        <v>12248.916666666668</v>
      </c>
      <c r="P25" s="48">
        <f t="shared" si="9"/>
        <v>2449.7833333333338</v>
      </c>
      <c r="Q25" s="11">
        <f>4765</f>
        <v>4765</v>
      </c>
      <c r="R25" s="11">
        <f>158019.5-32302+8250</f>
        <v>133967.5</v>
      </c>
      <c r="S25" s="11">
        <v>32302</v>
      </c>
      <c r="T25" s="48">
        <v>13113</v>
      </c>
      <c r="U25" s="49">
        <f>94358.5+18000</f>
        <v>112358.5</v>
      </c>
      <c r="V25" s="44"/>
    </row>
    <row r="26" spans="1:22" x14ac:dyDescent="0.3">
      <c r="A26" s="47">
        <v>46019</v>
      </c>
      <c r="B26" s="11">
        <v>110880.16</v>
      </c>
      <c r="C26" s="48">
        <f t="shared" si="0"/>
        <v>100800.14545454545</v>
      </c>
      <c r="D26" s="48">
        <f t="shared" si="1"/>
        <v>10080.014545454545</v>
      </c>
      <c r="E26" s="11">
        <v>17488.13</v>
      </c>
      <c r="F26" s="48">
        <f t="shared" si="2"/>
        <v>14573.441666666668</v>
      </c>
      <c r="G26" s="48">
        <f t="shared" si="3"/>
        <v>2914.6883333333335</v>
      </c>
      <c r="H26" s="11">
        <v>6074.71</v>
      </c>
      <c r="I26" s="48">
        <f t="shared" si="4"/>
        <v>5522.4636363636364</v>
      </c>
      <c r="J26" s="48">
        <f t="shared" si="5"/>
        <v>552.24636363636364</v>
      </c>
      <c r="K26" s="11">
        <v>6400</v>
      </c>
      <c r="L26" s="48">
        <f t="shared" si="6"/>
        <v>5333.3333333333339</v>
      </c>
      <c r="M26" s="48">
        <f t="shared" si="7"/>
        <v>1066.6666666666667</v>
      </c>
      <c r="N26" s="11">
        <v>7072</v>
      </c>
      <c r="O26" s="48">
        <f t="shared" si="8"/>
        <v>5893.3333333333339</v>
      </c>
      <c r="P26" s="48">
        <f t="shared" si="9"/>
        <v>1178.6666666666667</v>
      </c>
      <c r="Q26" s="11">
        <v>8655</v>
      </c>
      <c r="R26" s="11">
        <f>139260-7635-2685</f>
        <v>128940</v>
      </c>
      <c r="S26" s="11">
        <f>7635+2685</f>
        <v>10320</v>
      </c>
      <c r="T26" s="48">
        <v>0</v>
      </c>
      <c r="U26" s="49">
        <v>95788.5</v>
      </c>
      <c r="V26" s="44"/>
    </row>
    <row r="27" spans="1:22" x14ac:dyDescent="0.3">
      <c r="A27" s="47">
        <v>46021</v>
      </c>
      <c r="B27" s="48"/>
      <c r="C27" s="48">
        <f t="shared" si="0"/>
        <v>0</v>
      </c>
      <c r="D27" s="48">
        <f t="shared" si="1"/>
        <v>0</v>
      </c>
      <c r="E27" s="48"/>
      <c r="F27" s="48">
        <f t="shared" si="2"/>
        <v>0</v>
      </c>
      <c r="G27" s="48">
        <f t="shared" si="3"/>
        <v>0</v>
      </c>
      <c r="H27" s="48"/>
      <c r="I27" s="48">
        <f t="shared" si="4"/>
        <v>0</v>
      </c>
      <c r="J27" s="48">
        <f t="shared" si="5"/>
        <v>0</v>
      </c>
      <c r="K27" s="48"/>
      <c r="L27" s="48">
        <f t="shared" si="6"/>
        <v>0</v>
      </c>
      <c r="M27" s="48">
        <f t="shared" si="7"/>
        <v>0</v>
      </c>
      <c r="N27" s="48"/>
      <c r="O27" s="48">
        <f t="shared" si="8"/>
        <v>0</v>
      </c>
      <c r="P27" s="48">
        <f t="shared" si="9"/>
        <v>0</v>
      </c>
      <c r="Q27" s="48"/>
      <c r="R27" s="48"/>
      <c r="S27" s="48"/>
      <c r="T27" s="48"/>
      <c r="U27" s="49"/>
      <c r="V27" s="44"/>
    </row>
    <row r="28" spans="1:22" x14ac:dyDescent="0.3">
      <c r="A28" s="47">
        <v>46022</v>
      </c>
      <c r="B28" s="48"/>
      <c r="C28" s="48">
        <f t="shared" ref="C28" si="10">B28/1.1</f>
        <v>0</v>
      </c>
      <c r="D28" s="48">
        <f t="shared" ref="D28" si="11">C28*0.1</f>
        <v>0</v>
      </c>
      <c r="E28" s="48"/>
      <c r="F28" s="48">
        <f t="shared" ref="F28" si="12">E28/1.2</f>
        <v>0</v>
      </c>
      <c r="G28" s="48">
        <f t="shared" ref="G28" si="13">F28*0.2</f>
        <v>0</v>
      </c>
      <c r="H28" s="48"/>
      <c r="I28" s="48">
        <f t="shared" ref="I28" si="14">H28/1.1</f>
        <v>0</v>
      </c>
      <c r="J28" s="48">
        <f t="shared" ref="J28" si="15">I28*0.1</f>
        <v>0</v>
      </c>
      <c r="K28" s="48"/>
      <c r="L28" s="48">
        <f t="shared" ref="L28" si="16">K28/1.2</f>
        <v>0</v>
      </c>
      <c r="M28" s="48">
        <f t="shared" ref="M28" si="17">L28*0.2</f>
        <v>0</v>
      </c>
      <c r="N28" s="48"/>
      <c r="O28" s="48">
        <f t="shared" ref="O28" si="18">N28/1.2</f>
        <v>0</v>
      </c>
      <c r="P28" s="48">
        <f t="shared" ref="P28" si="19">O28*0.2</f>
        <v>0</v>
      </c>
      <c r="Q28" s="48"/>
      <c r="R28" s="48"/>
      <c r="S28" s="48"/>
      <c r="T28" s="48"/>
      <c r="U28" s="49"/>
      <c r="V28" s="44"/>
    </row>
    <row r="29" spans="1:22" x14ac:dyDescent="0.3">
      <c r="B29" s="55">
        <f>SUM(B3:B28)</f>
        <v>1177641.1899999997</v>
      </c>
      <c r="C29" s="56">
        <f>B29/1.1</f>
        <v>1070582.8999999997</v>
      </c>
      <c r="D29" s="56">
        <f t="shared" ref="D29" si="20">C29*10/100</f>
        <v>107058.28999999996</v>
      </c>
      <c r="E29" s="55">
        <f>SUM(E3:E28)</f>
        <v>443837.45999999996</v>
      </c>
      <c r="F29" s="56">
        <f t="shared" si="2"/>
        <v>369864.55</v>
      </c>
      <c r="G29" s="56">
        <f t="shared" ref="G29" si="21">F29*20/100</f>
        <v>73972.91</v>
      </c>
      <c r="H29" s="55">
        <f>SUM(H3:H28)</f>
        <v>40771.9</v>
      </c>
      <c r="I29" s="56">
        <f t="shared" si="4"/>
        <v>37065.363636363632</v>
      </c>
      <c r="J29" s="56">
        <f t="shared" ref="J29" si="22">I29*10/100</f>
        <v>3706.5363636363636</v>
      </c>
      <c r="K29" s="55">
        <f>SUM(K3:K28)</f>
        <v>116950</v>
      </c>
      <c r="L29" s="56">
        <f t="shared" si="6"/>
        <v>97458.333333333343</v>
      </c>
      <c r="M29" s="56">
        <f t="shared" ref="M29" si="23">L29*20/100</f>
        <v>19491.666666666672</v>
      </c>
      <c r="N29" s="55">
        <f>SUM(N3:N28)</f>
        <v>131189.45000000001</v>
      </c>
      <c r="O29" s="56">
        <f t="shared" si="8"/>
        <v>109324.54166666669</v>
      </c>
      <c r="P29" s="56">
        <f t="shared" ref="P29" si="24">O29*20/100</f>
        <v>21864.90833333334</v>
      </c>
      <c r="Q29" s="55">
        <f>SUM(Q3:Q28)</f>
        <v>59800</v>
      </c>
      <c r="R29" s="55">
        <f>SUM(R3:R28)</f>
        <v>1640126.5</v>
      </c>
      <c r="S29" s="55">
        <f>SUM(S3:S28)</f>
        <v>210463.5</v>
      </c>
      <c r="T29" s="55">
        <f>SUM(T3:T28)</f>
        <v>43686.6</v>
      </c>
      <c r="U29" s="55">
        <f>SUM(U3:U28)</f>
        <v>2264918.4</v>
      </c>
      <c r="V29" s="44"/>
    </row>
    <row r="33" spans="1:22" x14ac:dyDescent="0.3">
      <c r="A33" s="145" t="s">
        <v>88</v>
      </c>
      <c r="B33" s="145"/>
    </row>
    <row r="34" spans="1:22" x14ac:dyDescent="0.3">
      <c r="A34" s="47">
        <v>46004</v>
      </c>
      <c r="B34" s="11">
        <f>11700+600+3245</f>
        <v>15545</v>
      </c>
      <c r="C34" s="48">
        <f t="shared" ref="C34" si="25">B34/1.1</f>
        <v>14131.81818181818</v>
      </c>
      <c r="D34" s="48">
        <f t="shared" ref="D34" si="26">C34*0.1</f>
        <v>1413.181818181818</v>
      </c>
      <c r="E34" s="11"/>
      <c r="F34" s="48">
        <f t="shared" ref="F34" si="27">E34/1.2</f>
        <v>0</v>
      </c>
      <c r="G34" s="48">
        <f t="shared" ref="G34" si="28">F34*0.2</f>
        <v>0</v>
      </c>
      <c r="H34" s="11">
        <v>13920</v>
      </c>
      <c r="I34" s="48">
        <f t="shared" ref="I34" si="29">H34/1.1</f>
        <v>12654.545454545454</v>
      </c>
      <c r="J34" s="48">
        <f t="shared" ref="J34" si="30">I34*0.1</f>
        <v>1265.4545454545455</v>
      </c>
      <c r="K34" s="11"/>
      <c r="L34" s="48">
        <f t="shared" ref="L34" si="31">K34/1.2</f>
        <v>0</v>
      </c>
      <c r="M34" s="48">
        <f t="shared" ref="M34" si="32">L34*0.2</f>
        <v>0</v>
      </c>
      <c r="N34" s="11">
        <v>60</v>
      </c>
      <c r="O34" s="48">
        <f t="shared" ref="O34" si="33">N34/1.2</f>
        <v>50</v>
      </c>
      <c r="P34" s="48">
        <f t="shared" ref="P34" si="34">O34*0.2</f>
        <v>10</v>
      </c>
      <c r="Q34" s="11">
        <f>10250+200+3245</f>
        <v>13695</v>
      </c>
      <c r="R34" s="11">
        <f>15430-240+400</f>
        <v>15590</v>
      </c>
      <c r="S34" s="11">
        <v>240</v>
      </c>
      <c r="T34" s="49"/>
      <c r="U34" s="49"/>
      <c r="V34" s="44">
        <f>400+15430</f>
        <v>15830</v>
      </c>
    </row>
    <row r="35" spans="1:22" x14ac:dyDescent="0.3">
      <c r="A35" s="47">
        <v>46005</v>
      </c>
      <c r="B35" s="11">
        <v>16120</v>
      </c>
      <c r="C35" s="48">
        <f t="shared" ref="C35:C49" si="35">B35/1.1</f>
        <v>14654.545454545454</v>
      </c>
      <c r="D35" s="48">
        <f t="shared" ref="D35:D49" si="36">C35*0.1</f>
        <v>1465.4545454545455</v>
      </c>
      <c r="E35" s="11">
        <v>310</v>
      </c>
      <c r="F35" s="48">
        <f t="shared" ref="F35:F53" si="37">E35/1.2</f>
        <v>258.33333333333337</v>
      </c>
      <c r="G35" s="48">
        <f t="shared" ref="G35:G49" si="38">F35*0.2</f>
        <v>51.666666666666679</v>
      </c>
      <c r="H35" s="11">
        <v>13580</v>
      </c>
      <c r="I35" s="48">
        <f t="shared" ref="I35:I53" si="39">H35/1.1</f>
        <v>12345.454545454544</v>
      </c>
      <c r="J35" s="48">
        <f t="shared" ref="J35:J49" si="40">I35*0.1</f>
        <v>1234.5454545454545</v>
      </c>
      <c r="K35" s="48"/>
      <c r="L35" s="48">
        <f t="shared" ref="L35:L53" si="41">K35/1.2</f>
        <v>0</v>
      </c>
      <c r="M35" s="48">
        <f t="shared" ref="M35:M49" si="42">L35*0.2</f>
        <v>0</v>
      </c>
      <c r="N35" s="48"/>
      <c r="O35" s="48">
        <f t="shared" ref="O35:O53" si="43">N35/1.2</f>
        <v>0</v>
      </c>
      <c r="P35" s="48">
        <f t="shared" ref="P35:P49" si="44">O35*0.2</f>
        <v>0</v>
      </c>
      <c r="Q35" s="11">
        <v>1010</v>
      </c>
      <c r="R35" s="11">
        <f>29000-750</f>
        <v>28250</v>
      </c>
      <c r="S35" s="11">
        <v>750</v>
      </c>
      <c r="T35" s="48"/>
      <c r="U35" s="49"/>
      <c r="V35" s="44"/>
    </row>
    <row r="36" spans="1:22" x14ac:dyDescent="0.3">
      <c r="A36" s="47">
        <v>46006</v>
      </c>
      <c r="B36" s="11">
        <v>4690</v>
      </c>
      <c r="C36" s="48">
        <f t="shared" si="35"/>
        <v>4263.6363636363631</v>
      </c>
      <c r="D36" s="48">
        <f t="shared" si="36"/>
        <v>426.36363636363632</v>
      </c>
      <c r="E36" s="48"/>
      <c r="F36" s="48">
        <f t="shared" si="37"/>
        <v>0</v>
      </c>
      <c r="G36" s="48">
        <f t="shared" si="38"/>
        <v>0</v>
      </c>
      <c r="H36" s="11">
        <v>4890</v>
      </c>
      <c r="I36" s="48">
        <f t="shared" si="39"/>
        <v>4445.454545454545</v>
      </c>
      <c r="J36" s="48">
        <f t="shared" si="40"/>
        <v>444.5454545454545</v>
      </c>
      <c r="K36" s="48"/>
      <c r="L36" s="48">
        <f t="shared" si="41"/>
        <v>0</v>
      </c>
      <c r="M36" s="48">
        <f t="shared" si="42"/>
        <v>0</v>
      </c>
      <c r="N36" s="48"/>
      <c r="O36" s="48">
        <f t="shared" si="43"/>
        <v>0</v>
      </c>
      <c r="P36" s="48">
        <f t="shared" si="44"/>
        <v>0</v>
      </c>
      <c r="Q36" s="48">
        <v>0</v>
      </c>
      <c r="R36" s="11">
        <f>9580-800</f>
        <v>8780</v>
      </c>
      <c r="S36" s="11">
        <v>800</v>
      </c>
      <c r="T36" s="48"/>
      <c r="U36" s="49"/>
      <c r="V36" s="44"/>
    </row>
    <row r="37" spans="1:22" x14ac:dyDescent="0.3">
      <c r="A37" s="47">
        <v>46007</v>
      </c>
      <c r="B37" s="11">
        <f>400+4500</f>
        <v>4900</v>
      </c>
      <c r="C37" s="48">
        <f t="shared" si="35"/>
        <v>4454.545454545454</v>
      </c>
      <c r="D37" s="48">
        <f t="shared" si="36"/>
        <v>445.45454545454544</v>
      </c>
      <c r="E37" s="48"/>
      <c r="F37" s="48">
        <f t="shared" si="37"/>
        <v>0</v>
      </c>
      <c r="G37" s="48">
        <f t="shared" si="38"/>
        <v>0</v>
      </c>
      <c r="H37" s="11">
        <v>7340</v>
      </c>
      <c r="I37" s="48">
        <f t="shared" si="39"/>
        <v>6672.7272727272721</v>
      </c>
      <c r="J37" s="48">
        <f t="shared" si="40"/>
        <v>667.27272727272725</v>
      </c>
      <c r="K37" s="48"/>
      <c r="L37" s="48">
        <f t="shared" si="41"/>
        <v>0</v>
      </c>
      <c r="M37" s="48">
        <f t="shared" si="42"/>
        <v>0</v>
      </c>
      <c r="N37" s="48"/>
      <c r="O37" s="48">
        <f t="shared" si="43"/>
        <v>0</v>
      </c>
      <c r="P37" s="48">
        <f t="shared" si="44"/>
        <v>0</v>
      </c>
      <c r="Q37" s="48">
        <v>0</v>
      </c>
      <c r="R37" s="11">
        <f>400+11840</f>
        <v>12240</v>
      </c>
      <c r="S37" s="48"/>
      <c r="U37" s="48"/>
      <c r="V37" s="44"/>
    </row>
    <row r="38" spans="1:22" x14ac:dyDescent="0.3">
      <c r="A38" s="47">
        <v>46008</v>
      </c>
      <c r="B38" s="11">
        <v>10515</v>
      </c>
      <c r="C38" s="48">
        <f t="shared" si="35"/>
        <v>9559.0909090909081</v>
      </c>
      <c r="D38" s="48">
        <f t="shared" si="36"/>
        <v>955.90909090909088</v>
      </c>
      <c r="E38" s="48"/>
      <c r="F38" s="48">
        <f t="shared" si="37"/>
        <v>0</v>
      </c>
      <c r="G38" s="48">
        <f t="shared" si="38"/>
        <v>0</v>
      </c>
      <c r="H38" s="11">
        <v>6710</v>
      </c>
      <c r="I38" s="48">
        <f t="shared" si="39"/>
        <v>6099.9999999999991</v>
      </c>
      <c r="J38" s="48">
        <f t="shared" si="40"/>
        <v>609.99999999999989</v>
      </c>
      <c r="K38" s="48"/>
      <c r="L38" s="48">
        <f t="shared" si="41"/>
        <v>0</v>
      </c>
      <c r="M38" s="48">
        <f t="shared" si="42"/>
        <v>0</v>
      </c>
      <c r="N38" s="11">
        <v>400</v>
      </c>
      <c r="O38" s="48">
        <f t="shared" si="43"/>
        <v>333.33333333333337</v>
      </c>
      <c r="P38" s="48">
        <f t="shared" si="44"/>
        <v>66.666666666666671</v>
      </c>
      <c r="Q38" s="48">
        <f>0</f>
        <v>0</v>
      </c>
      <c r="R38" s="11">
        <f>17625-920</f>
        <v>16705</v>
      </c>
      <c r="S38" s="11">
        <v>920</v>
      </c>
      <c r="T38" s="48"/>
      <c r="U38" s="49"/>
      <c r="V38" s="44"/>
    </row>
    <row r="39" spans="1:22" x14ac:dyDescent="0.3">
      <c r="A39" s="47">
        <v>46009</v>
      </c>
      <c r="B39" s="11">
        <v>13520</v>
      </c>
      <c r="C39" s="48">
        <f t="shared" si="35"/>
        <v>12290.90909090909</v>
      </c>
      <c r="D39" s="48">
        <f t="shared" si="36"/>
        <v>1229.090909090909</v>
      </c>
      <c r="E39" s="48"/>
      <c r="F39" s="48">
        <f t="shared" si="37"/>
        <v>0</v>
      </c>
      <c r="G39" s="48">
        <f t="shared" si="38"/>
        <v>0</v>
      </c>
      <c r="H39" s="11">
        <v>10640</v>
      </c>
      <c r="I39" s="48">
        <f t="shared" si="39"/>
        <v>9672.7272727272721</v>
      </c>
      <c r="J39" s="48">
        <f t="shared" si="40"/>
        <v>967.27272727272725</v>
      </c>
      <c r="K39" s="48"/>
      <c r="L39" s="48">
        <f t="shared" si="41"/>
        <v>0</v>
      </c>
      <c r="M39" s="48">
        <f t="shared" si="42"/>
        <v>0</v>
      </c>
      <c r="N39" s="48"/>
      <c r="O39" s="48">
        <f t="shared" si="43"/>
        <v>0</v>
      </c>
      <c r="P39" s="48">
        <f t="shared" si="44"/>
        <v>0</v>
      </c>
      <c r="Q39" s="48">
        <v>0</v>
      </c>
      <c r="R39" s="11">
        <f>24160-640</f>
        <v>23520</v>
      </c>
      <c r="S39" s="11">
        <v>640</v>
      </c>
      <c r="T39" s="48"/>
      <c r="U39" s="49"/>
      <c r="V39" s="44"/>
    </row>
    <row r="40" spans="1:22" x14ac:dyDescent="0.3">
      <c r="A40" s="47">
        <v>46010</v>
      </c>
      <c r="B40" s="11">
        <v>18345</v>
      </c>
      <c r="C40" s="48">
        <f t="shared" si="35"/>
        <v>16677.272727272724</v>
      </c>
      <c r="D40" s="48">
        <f t="shared" si="36"/>
        <v>1667.7272727272725</v>
      </c>
      <c r="E40" s="48"/>
      <c r="F40" s="48">
        <f t="shared" si="37"/>
        <v>0</v>
      </c>
      <c r="G40" s="48">
        <f t="shared" si="38"/>
        <v>0</v>
      </c>
      <c r="H40" s="11">
        <v>14725</v>
      </c>
      <c r="I40" s="48">
        <f t="shared" si="39"/>
        <v>13386.363636363636</v>
      </c>
      <c r="J40" s="48">
        <f t="shared" si="40"/>
        <v>1338.6363636363637</v>
      </c>
      <c r="K40" s="48"/>
      <c r="L40" s="48">
        <f t="shared" si="41"/>
        <v>0</v>
      </c>
      <c r="M40" s="48">
        <f t="shared" si="42"/>
        <v>0</v>
      </c>
      <c r="N40" s="48"/>
      <c r="O40" s="48">
        <f t="shared" si="43"/>
        <v>0</v>
      </c>
      <c r="P40" s="48">
        <f t="shared" si="44"/>
        <v>0</v>
      </c>
      <c r="Q40" s="48">
        <v>0</v>
      </c>
      <c r="R40" s="11">
        <f>33070-1800</f>
        <v>31270</v>
      </c>
      <c r="S40" s="11">
        <v>1800</v>
      </c>
      <c r="T40" s="48"/>
      <c r="U40" s="49"/>
      <c r="V40" s="44"/>
    </row>
    <row r="41" spans="1:22" x14ac:dyDescent="0.3">
      <c r="A41" s="47">
        <v>46011</v>
      </c>
      <c r="B41" s="11">
        <v>32350</v>
      </c>
      <c r="C41" s="48">
        <f t="shared" si="35"/>
        <v>29409.090909090908</v>
      </c>
      <c r="D41" s="48">
        <f t="shared" si="36"/>
        <v>2940.909090909091</v>
      </c>
      <c r="E41" s="48"/>
      <c r="F41" s="48">
        <f t="shared" si="37"/>
        <v>0</v>
      </c>
      <c r="G41" s="48">
        <f t="shared" si="38"/>
        <v>0</v>
      </c>
      <c r="H41" s="11">
        <v>26475</v>
      </c>
      <c r="I41" s="48">
        <f t="shared" si="39"/>
        <v>24068.181818181816</v>
      </c>
      <c r="J41" s="48">
        <f t="shared" si="40"/>
        <v>2406.8181818181815</v>
      </c>
      <c r="K41" s="48"/>
      <c r="L41" s="48">
        <f t="shared" si="41"/>
        <v>0</v>
      </c>
      <c r="M41" s="48">
        <f t="shared" si="42"/>
        <v>0</v>
      </c>
      <c r="N41" s="48"/>
      <c r="O41" s="48">
        <f t="shared" si="43"/>
        <v>0</v>
      </c>
      <c r="P41" s="48">
        <f t="shared" si="44"/>
        <v>0</v>
      </c>
      <c r="Q41" s="48">
        <v>0</v>
      </c>
      <c r="R41" s="11">
        <f>58825-1910</f>
        <v>56915</v>
      </c>
      <c r="S41" s="11">
        <v>1910</v>
      </c>
      <c r="T41" s="48"/>
      <c r="U41" s="49"/>
      <c r="V41" s="44"/>
    </row>
    <row r="42" spans="1:22" x14ac:dyDescent="0.3">
      <c r="A42" s="47">
        <v>46012</v>
      </c>
      <c r="B42" s="11">
        <v>35895</v>
      </c>
      <c r="C42" s="48">
        <f t="shared" si="35"/>
        <v>32631.81818181818</v>
      </c>
      <c r="D42" s="48">
        <f t="shared" si="36"/>
        <v>3263.181818181818</v>
      </c>
      <c r="E42" s="48"/>
      <c r="F42" s="48">
        <f t="shared" si="37"/>
        <v>0</v>
      </c>
      <c r="G42" s="48">
        <f t="shared" si="38"/>
        <v>0</v>
      </c>
      <c r="H42" s="11">
        <v>23730</v>
      </c>
      <c r="I42" s="48">
        <f t="shared" si="39"/>
        <v>21572.727272727272</v>
      </c>
      <c r="J42" s="48">
        <f t="shared" si="40"/>
        <v>2157.2727272727275</v>
      </c>
      <c r="K42" s="48"/>
      <c r="L42" s="48">
        <f t="shared" si="41"/>
        <v>0</v>
      </c>
      <c r="M42" s="48">
        <f t="shared" si="42"/>
        <v>0</v>
      </c>
      <c r="N42" s="48"/>
      <c r="O42" s="48">
        <f t="shared" si="43"/>
        <v>0</v>
      </c>
      <c r="P42" s="48">
        <f t="shared" si="44"/>
        <v>0</v>
      </c>
      <c r="Q42" s="11">
        <v>400</v>
      </c>
      <c r="R42" s="11">
        <f>59225-1860</f>
        <v>57365</v>
      </c>
      <c r="S42" s="11">
        <v>1860</v>
      </c>
      <c r="T42" s="48"/>
      <c r="U42" s="49"/>
      <c r="V42" s="44"/>
    </row>
    <row r="43" spans="1:22" x14ac:dyDescent="0.3">
      <c r="A43" s="47">
        <v>46013</v>
      </c>
      <c r="B43" s="11">
        <v>11650</v>
      </c>
      <c r="C43" s="48">
        <f t="shared" si="35"/>
        <v>10590.90909090909</v>
      </c>
      <c r="D43" s="48">
        <f t="shared" si="36"/>
        <v>1059.090909090909</v>
      </c>
      <c r="E43" s="48"/>
      <c r="F43" s="48">
        <f t="shared" si="37"/>
        <v>0</v>
      </c>
      <c r="G43" s="48">
        <f t="shared" si="38"/>
        <v>0</v>
      </c>
      <c r="H43" s="11">
        <v>4780</v>
      </c>
      <c r="I43" s="48">
        <f t="shared" si="39"/>
        <v>4345.454545454545</v>
      </c>
      <c r="J43" s="48">
        <f t="shared" si="40"/>
        <v>434.5454545454545</v>
      </c>
      <c r="K43" s="48"/>
      <c r="L43" s="48">
        <f t="shared" si="41"/>
        <v>0</v>
      </c>
      <c r="M43" s="48">
        <f t="shared" si="42"/>
        <v>0</v>
      </c>
      <c r="N43" s="48"/>
      <c r="O43" s="48">
        <f t="shared" si="43"/>
        <v>0</v>
      </c>
      <c r="P43" s="48">
        <f t="shared" si="44"/>
        <v>0</v>
      </c>
      <c r="Q43" s="11">
        <v>200</v>
      </c>
      <c r="R43" s="11">
        <f>16230-740</f>
        <v>15490</v>
      </c>
      <c r="S43" s="11">
        <v>740</v>
      </c>
      <c r="T43" s="48"/>
      <c r="U43" s="49"/>
      <c r="V43" s="44"/>
    </row>
    <row r="44" spans="1:22" x14ac:dyDescent="0.3">
      <c r="A44" s="47">
        <v>46014</v>
      </c>
      <c r="B44" s="11">
        <v>13130</v>
      </c>
      <c r="C44" s="48">
        <f t="shared" si="35"/>
        <v>11936.363636363636</v>
      </c>
      <c r="D44" s="48">
        <f t="shared" si="36"/>
        <v>1193.6363636363637</v>
      </c>
      <c r="E44" s="48"/>
      <c r="F44" s="48">
        <f t="shared" si="37"/>
        <v>0</v>
      </c>
      <c r="G44" s="48">
        <f t="shared" si="38"/>
        <v>0</v>
      </c>
      <c r="H44" s="11">
        <v>4550</v>
      </c>
      <c r="I44" s="48">
        <f t="shared" si="39"/>
        <v>4136.363636363636</v>
      </c>
      <c r="J44" s="48">
        <f t="shared" si="40"/>
        <v>413.63636363636363</v>
      </c>
      <c r="K44" s="48"/>
      <c r="L44" s="48">
        <f t="shared" si="41"/>
        <v>0</v>
      </c>
      <c r="M44" s="48">
        <f t="shared" si="42"/>
        <v>0</v>
      </c>
      <c r="N44" s="48"/>
      <c r="O44" s="48">
        <f t="shared" si="43"/>
        <v>0</v>
      </c>
      <c r="P44" s="48">
        <f t="shared" si="44"/>
        <v>0</v>
      </c>
      <c r="Q44" s="11">
        <v>200</v>
      </c>
      <c r="R44" s="11">
        <f>17480-1230</f>
        <v>16250</v>
      </c>
      <c r="S44" s="11">
        <v>1230</v>
      </c>
      <c r="T44" s="48"/>
      <c r="U44" s="49"/>
      <c r="V44" s="44"/>
    </row>
    <row r="45" spans="1:22" x14ac:dyDescent="0.3">
      <c r="A45" s="47">
        <v>46015</v>
      </c>
      <c r="B45" s="11">
        <v>14545</v>
      </c>
      <c r="C45" s="48">
        <f t="shared" si="35"/>
        <v>13222.727272727272</v>
      </c>
      <c r="D45" s="48">
        <f t="shared" si="36"/>
        <v>1322.2727272727273</v>
      </c>
      <c r="E45" s="48"/>
      <c r="F45" s="48">
        <f t="shared" si="37"/>
        <v>0</v>
      </c>
      <c r="G45" s="48">
        <f t="shared" si="38"/>
        <v>0</v>
      </c>
      <c r="H45" s="11">
        <v>6350</v>
      </c>
      <c r="I45" s="48">
        <f t="shared" si="39"/>
        <v>5772.7272727272721</v>
      </c>
      <c r="J45" s="48">
        <f t="shared" si="40"/>
        <v>577.27272727272725</v>
      </c>
      <c r="K45" s="48"/>
      <c r="L45" s="48">
        <f t="shared" si="41"/>
        <v>0</v>
      </c>
      <c r="M45" s="48">
        <f t="shared" si="42"/>
        <v>0</v>
      </c>
      <c r="N45" s="48"/>
      <c r="O45" s="48">
        <f t="shared" si="43"/>
        <v>0</v>
      </c>
      <c r="P45" s="48">
        <f t="shared" si="44"/>
        <v>0</v>
      </c>
      <c r="Q45" s="11">
        <v>200</v>
      </c>
      <c r="R45" s="11">
        <f>20695-100</f>
        <v>20595</v>
      </c>
      <c r="S45" s="11">
        <v>100</v>
      </c>
      <c r="T45" s="48"/>
      <c r="U45" s="49"/>
      <c r="V45" s="44"/>
    </row>
    <row r="46" spans="1:22" x14ac:dyDescent="0.3">
      <c r="A46" s="47">
        <v>46016</v>
      </c>
      <c r="B46" s="11">
        <v>10720</v>
      </c>
      <c r="C46" s="48">
        <f t="shared" si="35"/>
        <v>9745.4545454545441</v>
      </c>
      <c r="D46" s="48">
        <f t="shared" si="36"/>
        <v>974.5454545454545</v>
      </c>
      <c r="E46" s="48"/>
      <c r="F46" s="48">
        <f t="shared" si="37"/>
        <v>0</v>
      </c>
      <c r="G46" s="48">
        <f t="shared" si="38"/>
        <v>0</v>
      </c>
      <c r="H46" s="11">
        <v>1185</v>
      </c>
      <c r="I46" s="48">
        <f t="shared" si="39"/>
        <v>1077.2727272727273</v>
      </c>
      <c r="J46" s="48">
        <f t="shared" si="40"/>
        <v>107.72727272727273</v>
      </c>
      <c r="K46" s="48"/>
      <c r="L46" s="48">
        <f t="shared" si="41"/>
        <v>0</v>
      </c>
      <c r="M46" s="48">
        <f t="shared" si="42"/>
        <v>0</v>
      </c>
      <c r="N46" s="48"/>
      <c r="O46" s="48">
        <f t="shared" si="43"/>
        <v>0</v>
      </c>
      <c r="P46" s="48">
        <f t="shared" si="44"/>
        <v>0</v>
      </c>
      <c r="Q46" s="48">
        <v>0</v>
      </c>
      <c r="R46" s="11">
        <f>11905-695</f>
        <v>11210</v>
      </c>
      <c r="S46" s="11">
        <v>695</v>
      </c>
      <c r="T46" s="48"/>
      <c r="U46" s="49"/>
      <c r="V46" s="44"/>
    </row>
    <row r="47" spans="1:22" x14ac:dyDescent="0.3">
      <c r="A47" s="47">
        <v>46017</v>
      </c>
      <c r="B47" s="11">
        <v>15640</v>
      </c>
      <c r="C47" s="48">
        <f t="shared" si="35"/>
        <v>14218.181818181816</v>
      </c>
      <c r="D47" s="48">
        <f t="shared" si="36"/>
        <v>1421.8181818181818</v>
      </c>
      <c r="E47" s="48"/>
      <c r="F47" s="48">
        <f t="shared" si="37"/>
        <v>0</v>
      </c>
      <c r="G47" s="48">
        <f t="shared" si="38"/>
        <v>0</v>
      </c>
      <c r="H47" s="11">
        <v>5040</v>
      </c>
      <c r="I47" s="48">
        <f t="shared" si="39"/>
        <v>4581.8181818181811</v>
      </c>
      <c r="J47" s="48">
        <f t="shared" si="40"/>
        <v>458.18181818181813</v>
      </c>
      <c r="K47" s="48"/>
      <c r="L47" s="48">
        <f t="shared" si="41"/>
        <v>0</v>
      </c>
      <c r="M47" s="48">
        <f t="shared" si="42"/>
        <v>0</v>
      </c>
      <c r="N47" s="48"/>
      <c r="O47" s="48">
        <f t="shared" si="43"/>
        <v>0</v>
      </c>
      <c r="P47" s="48">
        <f t="shared" si="44"/>
        <v>0</v>
      </c>
      <c r="Q47" s="11">
        <v>500</v>
      </c>
      <c r="R47" s="11">
        <f>20180-240-300</f>
        <v>19640</v>
      </c>
      <c r="S47" s="11">
        <f>240+300</f>
        <v>540</v>
      </c>
      <c r="T47" s="48"/>
      <c r="U47" s="49"/>
      <c r="V47" s="44"/>
    </row>
    <row r="48" spans="1:22" x14ac:dyDescent="0.3">
      <c r="A48" s="47">
        <v>46018</v>
      </c>
      <c r="B48" s="11">
        <v>15760</v>
      </c>
      <c r="C48" s="48">
        <f t="shared" si="35"/>
        <v>14327.272727272726</v>
      </c>
      <c r="D48" s="48">
        <f t="shared" si="36"/>
        <v>1432.7272727272727</v>
      </c>
      <c r="E48" s="48"/>
      <c r="F48" s="48">
        <f t="shared" si="37"/>
        <v>0</v>
      </c>
      <c r="G48" s="48">
        <f t="shared" si="38"/>
        <v>0</v>
      </c>
      <c r="H48" s="11">
        <v>5470</v>
      </c>
      <c r="I48" s="48">
        <f t="shared" si="39"/>
        <v>4972.7272727272721</v>
      </c>
      <c r="J48" s="48">
        <f t="shared" si="40"/>
        <v>497.27272727272725</v>
      </c>
      <c r="K48" s="48"/>
      <c r="L48" s="48">
        <f t="shared" si="41"/>
        <v>0</v>
      </c>
      <c r="M48" s="48">
        <f t="shared" si="42"/>
        <v>0</v>
      </c>
      <c r="N48" s="48"/>
      <c r="O48" s="48">
        <f t="shared" si="43"/>
        <v>0</v>
      </c>
      <c r="P48" s="48">
        <f t="shared" si="44"/>
        <v>0</v>
      </c>
      <c r="Q48" s="11">
        <v>400</v>
      </c>
      <c r="R48" s="11">
        <f>20830-400</f>
        <v>20430</v>
      </c>
      <c r="S48" s="11">
        <v>400</v>
      </c>
      <c r="T48" s="48"/>
      <c r="U48" s="49"/>
      <c r="V48" s="44"/>
    </row>
    <row r="49" spans="1:22" x14ac:dyDescent="0.3">
      <c r="A49" s="47">
        <v>46019</v>
      </c>
      <c r="B49" s="11">
        <v>6600</v>
      </c>
      <c r="C49" s="48">
        <f t="shared" si="35"/>
        <v>5999.9999999999991</v>
      </c>
      <c r="D49" s="48">
        <f t="shared" si="36"/>
        <v>599.99999999999989</v>
      </c>
      <c r="E49" s="48"/>
      <c r="F49" s="48">
        <f t="shared" si="37"/>
        <v>0</v>
      </c>
      <c r="G49" s="48">
        <f t="shared" si="38"/>
        <v>0</v>
      </c>
      <c r="H49" s="11">
        <v>7725</v>
      </c>
      <c r="I49" s="48">
        <f t="shared" si="39"/>
        <v>7022.7272727272721</v>
      </c>
      <c r="J49" s="48">
        <f t="shared" si="40"/>
        <v>702.27272727272725</v>
      </c>
      <c r="K49" s="48"/>
      <c r="L49" s="48">
        <f t="shared" si="41"/>
        <v>0</v>
      </c>
      <c r="M49" s="48">
        <f t="shared" si="42"/>
        <v>0</v>
      </c>
      <c r="N49" s="48"/>
      <c r="O49" s="48">
        <f t="shared" si="43"/>
        <v>0</v>
      </c>
      <c r="P49" s="48">
        <f t="shared" si="44"/>
        <v>0</v>
      </c>
      <c r="Q49" s="48">
        <v>0</v>
      </c>
      <c r="R49" s="11">
        <f>14325-1620</f>
        <v>12705</v>
      </c>
      <c r="S49" s="11">
        <v>1620</v>
      </c>
      <c r="T49" s="48"/>
      <c r="U49" s="49"/>
      <c r="V49" s="44"/>
    </row>
    <row r="50" spans="1:22" x14ac:dyDescent="0.3">
      <c r="A50" s="47">
        <v>46020</v>
      </c>
      <c r="B50" s="11">
        <v>9670</v>
      </c>
      <c r="C50" s="48">
        <f t="shared" ref="C50:C52" si="45">B50/1.1</f>
        <v>8790.9090909090901</v>
      </c>
      <c r="D50" s="48">
        <f t="shared" ref="D50:D52" si="46">C50*0.1</f>
        <v>879.09090909090901</v>
      </c>
      <c r="E50" s="48"/>
      <c r="F50" s="48">
        <f t="shared" ref="F50:F52" si="47">E50/1.2</f>
        <v>0</v>
      </c>
      <c r="G50" s="48">
        <f t="shared" ref="G50:G52" si="48">F50*0.2</f>
        <v>0</v>
      </c>
      <c r="H50" s="11">
        <v>3225</v>
      </c>
      <c r="I50" s="48">
        <f t="shared" ref="I50:I52" si="49">H50/1.1</f>
        <v>2931.8181818181815</v>
      </c>
      <c r="J50" s="48">
        <f t="shared" ref="J50:J52" si="50">I50*0.1</f>
        <v>293.18181818181819</v>
      </c>
      <c r="K50" s="48"/>
      <c r="L50" s="48">
        <f t="shared" ref="L50:L52" si="51">K50/1.2</f>
        <v>0</v>
      </c>
      <c r="M50" s="48">
        <f t="shared" ref="M50:M52" si="52">L50*0.2</f>
        <v>0</v>
      </c>
      <c r="N50" s="48"/>
      <c r="O50" s="48">
        <f t="shared" ref="O50:O52" si="53">N50/1.2</f>
        <v>0</v>
      </c>
      <c r="P50" s="48">
        <f t="shared" ref="P50:P52" si="54">O50*0.2</f>
        <v>0</v>
      </c>
      <c r="Q50" s="48">
        <v>0</v>
      </c>
      <c r="R50" s="11">
        <f>12895-200</f>
        <v>12695</v>
      </c>
      <c r="S50" s="11">
        <v>200</v>
      </c>
      <c r="T50" s="48"/>
      <c r="U50" s="49"/>
      <c r="V50" s="44"/>
    </row>
    <row r="51" spans="1:22" x14ac:dyDescent="0.3">
      <c r="A51" s="47">
        <v>46021</v>
      </c>
      <c r="B51" s="11">
        <v>9790</v>
      </c>
      <c r="C51" s="48">
        <f t="shared" si="45"/>
        <v>8900</v>
      </c>
      <c r="D51" s="48">
        <f t="shared" si="46"/>
        <v>890</v>
      </c>
      <c r="E51" s="48"/>
      <c r="F51" s="48">
        <f t="shared" si="47"/>
        <v>0</v>
      </c>
      <c r="G51" s="48">
        <f t="shared" si="48"/>
        <v>0</v>
      </c>
      <c r="H51" s="11">
        <v>3740</v>
      </c>
      <c r="I51" s="48">
        <f t="shared" si="49"/>
        <v>3399.9999999999995</v>
      </c>
      <c r="J51" s="48">
        <f t="shared" si="50"/>
        <v>340</v>
      </c>
      <c r="K51" s="48"/>
      <c r="L51" s="48">
        <f t="shared" si="51"/>
        <v>0</v>
      </c>
      <c r="M51" s="48">
        <f t="shared" si="52"/>
        <v>0</v>
      </c>
      <c r="N51" s="48"/>
      <c r="O51" s="48">
        <f t="shared" si="53"/>
        <v>0</v>
      </c>
      <c r="P51" s="48">
        <f t="shared" si="54"/>
        <v>0</v>
      </c>
      <c r="Q51" s="48">
        <v>0</v>
      </c>
      <c r="R51" s="11">
        <f>13530-200</f>
        <v>13330</v>
      </c>
      <c r="S51" s="11">
        <v>200</v>
      </c>
      <c r="T51" s="48"/>
      <c r="U51" s="49"/>
      <c r="V51" s="44"/>
    </row>
    <row r="52" spans="1:22" x14ac:dyDescent="0.3">
      <c r="A52" s="47">
        <v>46022</v>
      </c>
      <c r="B52" s="48"/>
      <c r="C52" s="48">
        <f t="shared" si="45"/>
        <v>0</v>
      </c>
      <c r="D52" s="48">
        <f t="shared" si="46"/>
        <v>0</v>
      </c>
      <c r="E52" s="48"/>
      <c r="F52" s="48">
        <f t="shared" si="47"/>
        <v>0</v>
      </c>
      <c r="G52" s="48">
        <f t="shared" si="48"/>
        <v>0</v>
      </c>
      <c r="H52" s="48"/>
      <c r="I52" s="48">
        <f t="shared" si="49"/>
        <v>0</v>
      </c>
      <c r="J52" s="48">
        <f t="shared" si="50"/>
        <v>0</v>
      </c>
      <c r="K52" s="48"/>
      <c r="L52" s="48">
        <f t="shared" si="51"/>
        <v>0</v>
      </c>
      <c r="M52" s="48">
        <f t="shared" si="52"/>
        <v>0</v>
      </c>
      <c r="N52" s="48"/>
      <c r="O52" s="48">
        <f t="shared" si="53"/>
        <v>0</v>
      </c>
      <c r="P52" s="48">
        <f t="shared" si="54"/>
        <v>0</v>
      </c>
      <c r="Q52" s="48"/>
      <c r="R52" s="48"/>
      <c r="S52" s="48"/>
      <c r="T52" s="48"/>
      <c r="U52" s="49"/>
      <c r="V52" s="44"/>
    </row>
    <row r="53" spans="1:22" x14ac:dyDescent="0.3">
      <c r="B53" s="55">
        <f>SUM(B34:B52)</f>
        <v>259385</v>
      </c>
      <c r="C53" s="56">
        <f>B53/1.1</f>
        <v>235804.54545454544</v>
      </c>
      <c r="D53" s="56">
        <f t="shared" ref="D53" si="55">C53*10/100</f>
        <v>23580.454545454544</v>
      </c>
      <c r="E53" s="55">
        <f>SUM(E34:E52)</f>
        <v>310</v>
      </c>
      <c r="F53" s="56">
        <f t="shared" si="37"/>
        <v>258.33333333333337</v>
      </c>
      <c r="G53" s="56">
        <f t="shared" ref="G53" si="56">F53*20/100</f>
        <v>51.666666666666679</v>
      </c>
      <c r="H53" s="55">
        <f>SUM(H34:H52)</f>
        <v>164075</v>
      </c>
      <c r="I53" s="56">
        <f t="shared" si="39"/>
        <v>149159.09090909088</v>
      </c>
      <c r="J53" s="56">
        <f t="shared" ref="J53" si="57">I53*10/100</f>
        <v>14915.909090909086</v>
      </c>
      <c r="K53" s="55">
        <f>SUM(K34:K52)</f>
        <v>0</v>
      </c>
      <c r="L53" s="56">
        <f t="shared" si="41"/>
        <v>0</v>
      </c>
      <c r="M53" s="56">
        <f t="shared" ref="M53" si="58">L53*20/100</f>
        <v>0</v>
      </c>
      <c r="N53" s="55">
        <f>SUM(N34:N52)</f>
        <v>460</v>
      </c>
      <c r="O53" s="56">
        <f t="shared" si="43"/>
        <v>383.33333333333337</v>
      </c>
      <c r="P53" s="56">
        <f t="shared" ref="P53" si="59">O53*20/100</f>
        <v>76.666666666666686</v>
      </c>
      <c r="Q53" s="55">
        <f t="shared" ref="Q53:U53" si="60">SUM(Q34:Q52)</f>
        <v>16605</v>
      </c>
      <c r="R53" s="55">
        <f t="shared" si="60"/>
        <v>392980</v>
      </c>
      <c r="S53" s="55">
        <f t="shared" si="60"/>
        <v>14645</v>
      </c>
      <c r="T53" s="55">
        <f t="shared" si="60"/>
        <v>0</v>
      </c>
      <c r="U53" s="55">
        <f t="shared" si="60"/>
        <v>0</v>
      </c>
      <c r="V53" s="44"/>
    </row>
    <row r="64" spans="1:22" x14ac:dyDescent="0.3">
      <c r="B64" s="57"/>
    </row>
    <row r="65" spans="17:17" x14ac:dyDescent="0.3">
      <c r="Q65" s="57"/>
    </row>
  </sheetData>
  <mergeCells count="2">
    <mergeCell ref="T1:U1"/>
    <mergeCell ref="A33:B3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tabSelected="1" workbookViewId="0">
      <selection activeCell="A3" sqref="A3"/>
    </sheetView>
  </sheetViews>
  <sheetFormatPr defaultColWidth="9.109375" defaultRowHeight="14.4" x14ac:dyDescent="0.3"/>
  <cols>
    <col min="1" max="1" width="10.5546875" style="31" bestFit="1" customWidth="1"/>
    <col min="2" max="2" width="24.88671875" style="31" customWidth="1"/>
    <col min="3" max="3" width="16.44140625" style="31" customWidth="1"/>
    <col min="4" max="4" width="12.109375" style="31" bestFit="1" customWidth="1"/>
    <col min="5" max="5" width="26.109375" style="31" customWidth="1"/>
    <col min="6" max="6" width="30.109375" style="31" customWidth="1"/>
    <col min="7" max="8" width="14.33203125" style="31" bestFit="1" customWidth="1"/>
    <col min="9" max="9" width="13.33203125" style="31" bestFit="1" customWidth="1"/>
    <col min="10" max="10" width="14.33203125" style="31" bestFit="1" customWidth="1"/>
    <col min="11" max="11" width="13.33203125" style="31" bestFit="1" customWidth="1"/>
    <col min="12" max="13" width="12.109375" style="31" bestFit="1" customWidth="1"/>
    <col min="14" max="14" width="13.33203125" style="31" bestFit="1" customWidth="1"/>
    <col min="15" max="16" width="12.109375" style="31" bestFit="1" customWidth="1"/>
    <col min="17" max="17" width="13.33203125" style="31" bestFit="1" customWidth="1"/>
    <col min="18" max="18" width="14.33203125" style="31" bestFit="1" customWidth="1"/>
    <col min="19" max="19" width="12.88671875" style="31" bestFit="1" customWidth="1"/>
    <col min="20" max="20" width="13.33203125" style="31" bestFit="1" customWidth="1"/>
    <col min="21" max="21" width="14.33203125" style="31" bestFit="1" customWidth="1"/>
    <col min="22" max="22" width="9.109375" style="31"/>
    <col min="23" max="23" width="6" style="31" bestFit="1" customWidth="1"/>
    <col min="24" max="24" width="10" style="31" bestFit="1" customWidth="1"/>
    <col min="25" max="16384" width="9.109375" style="31"/>
  </cols>
  <sheetData>
    <row r="1" spans="1:21" x14ac:dyDescent="0.3">
      <c r="A1" s="120" t="s">
        <v>0</v>
      </c>
      <c r="B1" s="121" t="s">
        <v>1</v>
      </c>
      <c r="C1" s="121"/>
      <c r="D1" s="121"/>
      <c r="E1" s="121" t="s">
        <v>2</v>
      </c>
      <c r="F1" s="121"/>
      <c r="G1" s="121"/>
      <c r="H1" s="120" t="s">
        <v>3</v>
      </c>
      <c r="I1" s="121"/>
      <c r="J1" s="121"/>
      <c r="K1" s="120" t="s">
        <v>4</v>
      </c>
      <c r="L1" s="121"/>
      <c r="M1" s="121"/>
      <c r="N1" s="121" t="s">
        <v>5</v>
      </c>
      <c r="O1" s="121"/>
      <c r="P1" s="121"/>
      <c r="Q1" s="121" t="s">
        <v>6</v>
      </c>
      <c r="R1" s="121" t="s">
        <v>7</v>
      </c>
      <c r="S1" s="31" t="s">
        <v>113</v>
      </c>
      <c r="T1" s="136" t="s">
        <v>8</v>
      </c>
      <c r="U1" s="137"/>
    </row>
    <row r="2" spans="1:21" x14ac:dyDescent="0.3">
      <c r="A2" s="122"/>
      <c r="B2" s="120">
        <v>0.1</v>
      </c>
      <c r="C2" s="120"/>
      <c r="D2" s="120"/>
      <c r="E2" s="120">
        <v>0.2</v>
      </c>
      <c r="F2" s="120"/>
      <c r="G2" s="120"/>
      <c r="H2" s="120">
        <v>0.1</v>
      </c>
      <c r="I2" s="120"/>
      <c r="J2" s="120"/>
      <c r="K2" s="120">
        <v>0.2</v>
      </c>
      <c r="L2" s="120"/>
      <c r="M2" s="120"/>
      <c r="N2" s="120">
        <v>0.2</v>
      </c>
      <c r="O2" s="120"/>
      <c r="P2" s="120"/>
      <c r="Q2" s="120"/>
      <c r="R2" s="120"/>
      <c r="T2" s="120" t="s">
        <v>6</v>
      </c>
      <c r="U2" s="123" t="s">
        <v>9</v>
      </c>
    </row>
    <row r="3" spans="1:21" x14ac:dyDescent="0.3">
      <c r="A3" s="31">
        <v>45658</v>
      </c>
      <c r="B3" s="148">
        <v>1245475.23</v>
      </c>
      <c r="C3" s="31">
        <v>1132250.209090909</v>
      </c>
      <c r="D3" s="31">
        <v>113225.0209090909</v>
      </c>
      <c r="E3" s="148">
        <v>631928.85000000009</v>
      </c>
      <c r="F3" s="31">
        <v>526607.37500000012</v>
      </c>
      <c r="G3" s="31">
        <v>105321.47500000002</v>
      </c>
      <c r="H3" s="148">
        <v>58474.630000000005</v>
      </c>
      <c r="I3" s="31">
        <v>53158.754545454547</v>
      </c>
      <c r="J3" s="31">
        <v>5315.875454545454</v>
      </c>
      <c r="K3" s="148">
        <v>157278.39999999999</v>
      </c>
      <c r="L3" s="31">
        <v>131065.33333333333</v>
      </c>
      <c r="M3" s="31">
        <v>26213.066666666666</v>
      </c>
      <c r="N3" s="148">
        <v>32107.619999999995</v>
      </c>
      <c r="O3" s="31">
        <v>26756.35</v>
      </c>
      <c r="P3" s="31">
        <v>5351.27</v>
      </c>
      <c r="Q3" s="148">
        <v>130832</v>
      </c>
      <c r="R3" s="148">
        <v>1994432.73</v>
      </c>
      <c r="T3" s="148">
        <v>19415</v>
      </c>
      <c r="U3" s="148">
        <v>947419.5</v>
      </c>
    </row>
    <row r="4" spans="1:21" x14ac:dyDescent="0.3">
      <c r="A4" s="31">
        <v>45689</v>
      </c>
      <c r="B4" s="148">
        <v>1323225.0200000003</v>
      </c>
      <c r="C4" s="31">
        <v>1202931.8363636364</v>
      </c>
      <c r="D4" s="31">
        <v>120293.18363636364</v>
      </c>
      <c r="E4" s="148">
        <v>669697.77999999991</v>
      </c>
      <c r="F4" s="31">
        <v>558081.48333333328</v>
      </c>
      <c r="G4" s="31">
        <v>111616.29666666666</v>
      </c>
      <c r="H4" s="148">
        <v>65135.06</v>
      </c>
      <c r="I4" s="31">
        <v>59213.690909090903</v>
      </c>
      <c r="J4" s="31">
        <v>5921.369090909091</v>
      </c>
      <c r="K4" s="148">
        <v>155764.22</v>
      </c>
      <c r="L4" s="31">
        <v>129803.51666666668</v>
      </c>
      <c r="M4" s="31">
        <v>25960.703333333335</v>
      </c>
      <c r="N4" s="148">
        <v>33300.42</v>
      </c>
      <c r="O4" s="31">
        <v>27750.35</v>
      </c>
      <c r="P4" s="31">
        <v>5550.07</v>
      </c>
      <c r="Q4" s="148">
        <v>94363</v>
      </c>
      <c r="R4" s="148">
        <v>2080132.5</v>
      </c>
      <c r="S4" s="148"/>
      <c r="T4" s="148">
        <v>22297</v>
      </c>
      <c r="U4" s="148">
        <v>1030415</v>
      </c>
    </row>
    <row r="5" spans="1:21" x14ac:dyDescent="0.3">
      <c r="A5" s="31">
        <v>45717</v>
      </c>
      <c r="B5" s="148">
        <v>1382721.3800000001</v>
      </c>
      <c r="C5" s="31">
        <v>1257019.4363636363</v>
      </c>
      <c r="D5" s="31">
        <v>125701.94363636363</v>
      </c>
      <c r="E5" s="148">
        <v>3050</v>
      </c>
      <c r="F5" s="31">
        <v>2541.666666666667</v>
      </c>
      <c r="G5" s="31">
        <v>508.33333333333343</v>
      </c>
      <c r="H5" s="148">
        <v>26438.09</v>
      </c>
      <c r="I5" s="31">
        <v>24034.62727272727</v>
      </c>
      <c r="J5" s="31">
        <v>2403.4627272727271</v>
      </c>
      <c r="K5" s="148">
        <v>900</v>
      </c>
      <c r="L5" s="31">
        <v>750</v>
      </c>
      <c r="M5" s="31">
        <v>150</v>
      </c>
      <c r="N5" s="148">
        <v>17410.53</v>
      </c>
      <c r="O5" s="31">
        <v>14508.775</v>
      </c>
      <c r="P5" s="31">
        <v>2901.7550000000001</v>
      </c>
      <c r="Q5" s="148">
        <v>87185</v>
      </c>
      <c r="R5" s="148">
        <v>1322385</v>
      </c>
      <c r="S5" s="6">
        <v>20950</v>
      </c>
      <c r="T5" s="148">
        <v>6725</v>
      </c>
      <c r="U5" s="148">
        <v>698495</v>
      </c>
    </row>
    <row r="6" spans="1:21" x14ac:dyDescent="0.3">
      <c r="A6" s="31">
        <v>45748</v>
      </c>
      <c r="B6" s="148">
        <v>950506.64999999991</v>
      </c>
      <c r="C6" s="31">
        <v>864096.95454545435</v>
      </c>
      <c r="D6" s="31">
        <v>86409.695454545435</v>
      </c>
      <c r="E6" s="148">
        <v>508222.29</v>
      </c>
      <c r="F6" s="31">
        <v>423518.57500000001</v>
      </c>
      <c r="G6" s="31">
        <v>84703.714999999997</v>
      </c>
      <c r="H6" s="148">
        <v>63899.880000000005</v>
      </c>
      <c r="I6" s="31">
        <v>58090.8</v>
      </c>
      <c r="J6" s="31">
        <v>5809.08</v>
      </c>
      <c r="K6" s="148">
        <v>126178.68000000001</v>
      </c>
      <c r="L6" s="31">
        <v>105148.90000000001</v>
      </c>
      <c r="M6" s="31">
        <v>21029.78</v>
      </c>
      <c r="N6" s="148">
        <v>16860</v>
      </c>
      <c r="O6" s="31">
        <v>14050</v>
      </c>
      <c r="P6" s="31">
        <v>2810</v>
      </c>
      <c r="Q6" s="148">
        <v>70698</v>
      </c>
      <c r="R6" s="148">
        <v>1537114.5</v>
      </c>
      <c r="S6" s="148">
        <v>56235</v>
      </c>
      <c r="T6" s="148">
        <v>24150</v>
      </c>
      <c r="U6" s="148">
        <v>1112965.4100000001</v>
      </c>
    </row>
    <row r="7" spans="1:21" x14ac:dyDescent="0.3">
      <c r="A7" s="31">
        <v>45778</v>
      </c>
      <c r="B7" s="148">
        <v>1390372.06</v>
      </c>
      <c r="C7" s="31">
        <v>1263974.5999999999</v>
      </c>
      <c r="D7" s="31">
        <v>126397.45999999998</v>
      </c>
      <c r="E7" s="148">
        <v>705666.24</v>
      </c>
      <c r="F7" s="31">
        <v>588055.20000000007</v>
      </c>
      <c r="G7" s="31">
        <v>117611.04000000002</v>
      </c>
      <c r="H7" s="148">
        <v>67128.319999999992</v>
      </c>
      <c r="I7" s="31">
        <v>61025.745454545446</v>
      </c>
      <c r="J7" s="31">
        <v>6102.5745454545449</v>
      </c>
      <c r="K7" s="148">
        <v>193556.88</v>
      </c>
      <c r="L7" s="31">
        <v>161297.40000000002</v>
      </c>
      <c r="M7" s="31">
        <v>32259.480000000003</v>
      </c>
      <c r="N7" s="148">
        <v>23800</v>
      </c>
      <c r="O7" s="31">
        <v>19833.333333333336</v>
      </c>
      <c r="P7" s="31">
        <v>3966.6666666666674</v>
      </c>
      <c r="Q7" s="148">
        <v>58986</v>
      </c>
      <c r="R7" s="148">
        <v>2241082.5</v>
      </c>
      <c r="S7" s="148">
        <v>80455</v>
      </c>
      <c r="T7" s="148">
        <v>55340</v>
      </c>
      <c r="U7" s="148">
        <v>913340</v>
      </c>
    </row>
    <row r="8" spans="1:21" x14ac:dyDescent="0.3">
      <c r="A8" s="31">
        <v>45809</v>
      </c>
      <c r="B8" s="148">
        <v>1278826.22</v>
      </c>
      <c r="C8" s="31">
        <v>1162569.2909090908</v>
      </c>
      <c r="D8" s="31">
        <v>116256.92909090908</v>
      </c>
      <c r="E8" s="148">
        <v>632377.49</v>
      </c>
      <c r="F8" s="31">
        <v>526981.2416666667</v>
      </c>
      <c r="G8" s="31">
        <v>105396.24833333334</v>
      </c>
      <c r="H8" s="148">
        <v>80499.399999999994</v>
      </c>
      <c r="I8" s="31">
        <v>73181.272727272721</v>
      </c>
      <c r="J8" s="31">
        <v>7318.1272727272717</v>
      </c>
      <c r="K8" s="148">
        <v>191547.29</v>
      </c>
      <c r="L8" s="31">
        <v>159622.74166666667</v>
      </c>
      <c r="M8" s="31">
        <v>31924.548333333336</v>
      </c>
      <c r="N8" s="148">
        <v>14937</v>
      </c>
      <c r="O8" s="31">
        <v>12447.5</v>
      </c>
      <c r="P8" s="31">
        <v>2489.5</v>
      </c>
      <c r="Q8" s="148">
        <v>111010</v>
      </c>
      <c r="R8" s="148">
        <v>2027777.4</v>
      </c>
      <c r="S8" s="148">
        <v>59400</v>
      </c>
      <c r="T8" s="148">
        <v>176492.5</v>
      </c>
      <c r="U8" s="148">
        <v>826754.3</v>
      </c>
    </row>
    <row r="9" spans="1:21" x14ac:dyDescent="0.3">
      <c r="A9" s="31">
        <v>45839</v>
      </c>
      <c r="B9" s="148">
        <v>1430761.34</v>
      </c>
      <c r="C9" s="31">
        <v>1300692.1272727272</v>
      </c>
      <c r="D9" s="31">
        <v>130069.21272727271</v>
      </c>
      <c r="E9" s="148">
        <v>718961.66</v>
      </c>
      <c r="F9" s="31">
        <v>599134.71666666667</v>
      </c>
      <c r="G9" s="31">
        <v>119826.94333333334</v>
      </c>
      <c r="H9" s="148">
        <v>73746.5</v>
      </c>
      <c r="I9" s="31">
        <v>67042.272727272721</v>
      </c>
      <c r="J9" s="31">
        <v>6704.2272727272721</v>
      </c>
      <c r="K9" s="148">
        <v>234150</v>
      </c>
      <c r="L9" s="31">
        <v>195125</v>
      </c>
      <c r="M9" s="31">
        <v>39025</v>
      </c>
      <c r="N9" s="148">
        <v>219543</v>
      </c>
      <c r="O9" s="31">
        <v>182952.5</v>
      </c>
      <c r="P9" s="31">
        <v>36590.5</v>
      </c>
      <c r="Q9" s="148">
        <v>123324</v>
      </c>
      <c r="R9" s="148">
        <v>2432371.2999999998</v>
      </c>
      <c r="S9" s="148">
        <v>121467.2</v>
      </c>
      <c r="T9" s="148">
        <v>38792</v>
      </c>
      <c r="U9" s="148">
        <v>1376037.5</v>
      </c>
    </row>
    <row r="10" spans="1:21" x14ac:dyDescent="0.3">
      <c r="A10" s="31">
        <v>45870</v>
      </c>
      <c r="B10" s="148">
        <v>1269184.8400000001</v>
      </c>
      <c r="C10" s="31">
        <v>1153804.3999999999</v>
      </c>
      <c r="D10" s="31">
        <v>115380.44</v>
      </c>
      <c r="E10" s="148">
        <v>590467.16</v>
      </c>
      <c r="F10" s="31">
        <v>492055.96666666673</v>
      </c>
      <c r="G10" s="31">
        <v>98411.193333333344</v>
      </c>
      <c r="H10" s="148">
        <v>77295</v>
      </c>
      <c r="I10" s="31">
        <v>70268.181818181809</v>
      </c>
      <c r="J10" s="31">
        <v>7026.8181818181811</v>
      </c>
      <c r="K10" s="148">
        <v>209151.71</v>
      </c>
      <c r="L10" s="31">
        <v>174293.09166666667</v>
      </c>
      <c r="M10" s="31">
        <v>34858.618333333332</v>
      </c>
      <c r="N10" s="148">
        <v>138301.79</v>
      </c>
      <c r="O10" s="31">
        <v>115251.49166666668</v>
      </c>
      <c r="P10" s="31">
        <v>23050.298333333336</v>
      </c>
      <c r="Q10" s="148">
        <v>81325.5</v>
      </c>
      <c r="R10" s="148">
        <v>2107088.5</v>
      </c>
      <c r="S10" s="148">
        <v>95986.5</v>
      </c>
      <c r="T10" s="148">
        <v>15802.5</v>
      </c>
      <c r="U10" s="148">
        <v>1245999.5</v>
      </c>
    </row>
    <row r="11" spans="1:21" x14ac:dyDescent="0.3">
      <c r="A11" s="31">
        <v>45901</v>
      </c>
      <c r="B11" s="148">
        <v>1174122.06</v>
      </c>
      <c r="C11" s="31">
        <v>1067383.6909090909</v>
      </c>
      <c r="D11" s="31">
        <v>106738.36909090909</v>
      </c>
      <c r="E11" s="148">
        <v>516954.94</v>
      </c>
      <c r="F11" s="31">
        <v>430795.78333333333</v>
      </c>
      <c r="G11" s="31">
        <v>86159.156666666662</v>
      </c>
      <c r="H11" s="148">
        <v>72535</v>
      </c>
      <c r="I11" s="31">
        <v>65940.909090909088</v>
      </c>
      <c r="J11" s="31">
        <v>6594.0909090909081</v>
      </c>
      <c r="K11" s="148">
        <v>182850</v>
      </c>
      <c r="L11" s="31">
        <v>152375</v>
      </c>
      <c r="M11" s="31">
        <v>30475</v>
      </c>
      <c r="N11" s="148">
        <v>172166</v>
      </c>
      <c r="O11" s="31">
        <v>143471.66666666669</v>
      </c>
      <c r="P11" s="31">
        <v>28694.333333333339</v>
      </c>
      <c r="Q11" s="148">
        <v>52650</v>
      </c>
      <c r="R11" s="148">
        <v>1892920</v>
      </c>
      <c r="S11" s="148">
        <v>173058</v>
      </c>
      <c r="T11" s="148">
        <v>17435</v>
      </c>
      <c r="U11" s="148">
        <v>773932</v>
      </c>
    </row>
    <row r="12" spans="1:21" x14ac:dyDescent="0.3">
      <c r="A12" s="31">
        <v>45931</v>
      </c>
      <c r="B12" s="148">
        <v>1381692.59</v>
      </c>
      <c r="C12" s="31">
        <v>1256084.1727272726</v>
      </c>
      <c r="D12" s="31">
        <v>125608.41727272727</v>
      </c>
      <c r="E12" s="148">
        <v>486920.91</v>
      </c>
      <c r="F12" s="31">
        <v>405767.42499999999</v>
      </c>
      <c r="G12" s="31">
        <v>81153.485000000001</v>
      </c>
      <c r="H12" s="148">
        <v>66950</v>
      </c>
      <c r="I12" s="31">
        <v>60863.63636363636</v>
      </c>
      <c r="J12" s="31">
        <v>6086.363636363636</v>
      </c>
      <c r="K12" s="148">
        <v>172200</v>
      </c>
      <c r="L12" s="31">
        <v>143500</v>
      </c>
      <c r="M12" s="31">
        <v>28700</v>
      </c>
      <c r="N12" s="148">
        <v>174037</v>
      </c>
      <c r="O12" s="31">
        <v>145030.83333333334</v>
      </c>
      <c r="P12" s="31">
        <v>29006.166666666672</v>
      </c>
      <c r="Q12" s="148">
        <v>121902.5</v>
      </c>
      <c r="R12" s="148">
        <v>2017672.5</v>
      </c>
      <c r="S12" s="148">
        <v>142225.5</v>
      </c>
      <c r="T12" s="148">
        <v>44060</v>
      </c>
      <c r="U12" s="148">
        <v>1411902</v>
      </c>
    </row>
    <row r="13" spans="1:21" x14ac:dyDescent="0.3">
      <c r="A13" s="31">
        <v>45962</v>
      </c>
      <c r="B13" s="148">
        <v>1174912.6099999999</v>
      </c>
      <c r="C13" s="31">
        <v>1068102.3727272726</v>
      </c>
      <c r="D13" s="31">
        <v>106810.23727272726</v>
      </c>
      <c r="E13" s="148">
        <v>341987.39</v>
      </c>
      <c r="F13" s="31">
        <v>284989.4916666667</v>
      </c>
      <c r="G13" s="31">
        <v>56997.898333333338</v>
      </c>
      <c r="H13" s="148">
        <v>45925</v>
      </c>
      <c r="I13" s="31">
        <v>41750</v>
      </c>
      <c r="J13" s="31">
        <v>4175</v>
      </c>
      <c r="K13" s="148">
        <v>108050</v>
      </c>
      <c r="L13" s="31">
        <v>90041.666666666672</v>
      </c>
      <c r="M13" s="31">
        <v>18008.333333333336</v>
      </c>
      <c r="N13" s="148">
        <v>121801.5</v>
      </c>
      <c r="O13" s="31">
        <v>101501.25</v>
      </c>
      <c r="P13" s="31">
        <v>20300.25</v>
      </c>
      <c r="Q13" s="148">
        <v>100275</v>
      </c>
      <c r="R13" s="148">
        <v>1569248.5</v>
      </c>
      <c r="S13" s="148">
        <v>123153</v>
      </c>
      <c r="T13" s="148">
        <v>18368.5</v>
      </c>
      <c r="U13" s="148">
        <v>1173318.5</v>
      </c>
    </row>
    <row r="14" spans="1:21" x14ac:dyDescent="0.3">
      <c r="A14" s="31">
        <v>45992</v>
      </c>
      <c r="B14" s="148">
        <v>1252506.2299999997</v>
      </c>
      <c r="C14" s="31">
        <v>1138642.0272727269</v>
      </c>
      <c r="D14" s="31">
        <v>113864.2027272727</v>
      </c>
      <c r="E14" s="148">
        <v>462266.16</v>
      </c>
      <c r="F14" s="31">
        <v>385221.8</v>
      </c>
      <c r="G14" s="31">
        <v>77044.36</v>
      </c>
      <c r="H14" s="148">
        <v>43020.160000000003</v>
      </c>
      <c r="I14" s="31">
        <v>39109.236363636366</v>
      </c>
      <c r="J14" s="31">
        <v>3910.9236363636364</v>
      </c>
      <c r="K14" s="148">
        <v>123700</v>
      </c>
      <c r="L14" s="31">
        <v>103083.33333333334</v>
      </c>
      <c r="M14" s="31">
        <v>20616.666666666672</v>
      </c>
      <c r="N14" s="148">
        <v>138644.95000000001</v>
      </c>
      <c r="O14" s="31">
        <v>115537.45833333334</v>
      </c>
      <c r="P14" s="31">
        <v>23107.491666666669</v>
      </c>
      <c r="Q14" s="148">
        <v>74250</v>
      </c>
      <c r="R14" s="148">
        <v>1729980.5</v>
      </c>
      <c r="S14" s="148">
        <v>215907</v>
      </c>
      <c r="T14" s="148">
        <v>60481.599999999999</v>
      </c>
      <c r="U14" s="148">
        <v>2631412.4</v>
      </c>
    </row>
    <row r="15" spans="1:21" x14ac:dyDescent="0.3">
      <c r="A15" s="31">
        <v>45992</v>
      </c>
      <c r="B15" s="148">
        <v>271515</v>
      </c>
      <c r="C15" s="31">
        <v>246831.81818181815</v>
      </c>
      <c r="D15" s="31">
        <v>24683.181818181816</v>
      </c>
      <c r="E15" s="148">
        <v>310</v>
      </c>
      <c r="F15" s="31">
        <v>258.33333333333337</v>
      </c>
      <c r="G15" s="31">
        <v>51.666666666666679</v>
      </c>
      <c r="H15" s="148">
        <v>165385</v>
      </c>
      <c r="I15" s="31">
        <v>150350</v>
      </c>
      <c r="J15" s="31">
        <v>15035</v>
      </c>
      <c r="K15" s="148">
        <v>0</v>
      </c>
      <c r="L15" s="31">
        <v>0</v>
      </c>
      <c r="M15" s="31">
        <v>0</v>
      </c>
      <c r="N15" s="148">
        <v>460</v>
      </c>
      <c r="O15" s="31">
        <v>383.33333333333337</v>
      </c>
      <c r="P15" s="31">
        <v>76.666666666666686</v>
      </c>
      <c r="Q15" s="148">
        <v>16605</v>
      </c>
      <c r="R15" s="148">
        <v>406220</v>
      </c>
      <c r="S15" s="148">
        <v>14845</v>
      </c>
      <c r="T15" s="148">
        <v>0</v>
      </c>
      <c r="U15" s="148">
        <v>0</v>
      </c>
    </row>
    <row r="17" spans="2:21" x14ac:dyDescent="0.3">
      <c r="B17" s="31">
        <f>SUM(B3:B16)</f>
        <v>15525821.23</v>
      </c>
      <c r="E17" s="31">
        <f>SUM(E3:E16)</f>
        <v>6268810.870000001</v>
      </c>
      <c r="H17" s="31">
        <f>SUM(H3:H16)</f>
        <v>906432.04</v>
      </c>
      <c r="K17" s="31">
        <f>SUM(K3:K16)</f>
        <v>1855327.18</v>
      </c>
      <c r="N17" s="31">
        <f>SUM(N3:N16)</f>
        <v>1103369.81</v>
      </c>
      <c r="Q17" s="31">
        <f t="shared" ref="Q17:U17" si="0">SUM(Q3:Q16)</f>
        <v>1123406</v>
      </c>
      <c r="R17" s="31">
        <f t="shared" si="0"/>
        <v>23358425.93</v>
      </c>
      <c r="S17" s="31">
        <f t="shared" si="0"/>
        <v>1103682.2</v>
      </c>
      <c r="T17" s="31">
        <f t="shared" si="0"/>
        <v>499359.1</v>
      </c>
      <c r="U17" s="31">
        <f>SUM(U3:U16)</f>
        <v>14141991.110000001</v>
      </c>
    </row>
    <row r="20" spans="2:21" ht="15" thickBot="1" x14ac:dyDescent="0.35">
      <c r="E20" s="31" t="s">
        <v>33</v>
      </c>
      <c r="F20" s="121" t="s">
        <v>6</v>
      </c>
      <c r="G20" s="121" t="s">
        <v>7</v>
      </c>
      <c r="H20" s="31" t="s">
        <v>71</v>
      </c>
      <c r="I20" s="121" t="s">
        <v>6</v>
      </c>
      <c r="J20" s="121" t="s">
        <v>7</v>
      </c>
    </row>
    <row r="21" spans="2:21" ht="15" thickBot="1" x14ac:dyDescent="0.35">
      <c r="B21" s="124" t="s">
        <v>91</v>
      </c>
      <c r="C21" s="125">
        <v>46633255.549999997</v>
      </c>
      <c r="D21" s="126" t="s">
        <v>33</v>
      </c>
      <c r="E21" s="31">
        <f>+B17+E17+H17+K17+N17</f>
        <v>25659761.129999999</v>
      </c>
      <c r="F21" s="31">
        <f>+Q17</f>
        <v>1123406</v>
      </c>
      <c r="G21" s="31">
        <f>+R17+S17</f>
        <v>24462108.129999999</v>
      </c>
      <c r="H21" s="31">
        <f>+T17+U17</f>
        <v>14641350.210000001</v>
      </c>
      <c r="I21" s="31">
        <f>+T17</f>
        <v>499359.1</v>
      </c>
      <c r="J21" s="31">
        <f>+U17</f>
        <v>14141991.110000001</v>
      </c>
    </row>
    <row r="22" spans="2:21" ht="15" thickBot="1" x14ac:dyDescent="0.35">
      <c r="B22" s="124" t="s">
        <v>92</v>
      </c>
      <c r="C22" s="125">
        <v>5388547.8700000001</v>
      </c>
      <c r="D22" s="126" t="s">
        <v>32</v>
      </c>
      <c r="E22" s="31">
        <f>+C37+C40+C42+C43</f>
        <v>25493764.310000002</v>
      </c>
      <c r="F22" s="31">
        <f>+C40+C43</f>
        <v>1104956.07</v>
      </c>
      <c r="G22" s="31">
        <f>+C37+C42</f>
        <v>24388808.240000002</v>
      </c>
      <c r="H22" s="31">
        <f>+C38+C41+C44</f>
        <v>14311485.799999999</v>
      </c>
      <c r="I22" s="31">
        <f>+C41</f>
        <v>465254.1</v>
      </c>
      <c r="J22" s="31">
        <f>+C38+C44</f>
        <v>13846231.699999999</v>
      </c>
      <c r="K22" s="31">
        <f>+C39</f>
        <v>6828554.9100000001</v>
      </c>
    </row>
    <row r="23" spans="2:21" ht="15" thickBot="1" x14ac:dyDescent="0.35">
      <c r="B23" s="124" t="s">
        <v>93</v>
      </c>
      <c r="C23" s="125">
        <v>3529201.25</v>
      </c>
      <c r="D23" s="126" t="s">
        <v>17</v>
      </c>
      <c r="E23" s="31">
        <f>+E21-E22</f>
        <v>165996.81999999657</v>
      </c>
      <c r="F23" s="31">
        <f t="shared" ref="F23:K23" si="1">+F21-F22</f>
        <v>18449.929999999935</v>
      </c>
      <c r="G23" s="31">
        <f t="shared" si="1"/>
        <v>73299.889999996871</v>
      </c>
      <c r="H23" s="31">
        <f>+H21-H22</f>
        <v>329864.41000000201</v>
      </c>
      <c r="I23" s="31">
        <f>+I21-I22</f>
        <v>34105</v>
      </c>
      <c r="J23" s="31">
        <f t="shared" si="1"/>
        <v>295759.41000000201</v>
      </c>
      <c r="K23" s="31">
        <f t="shared" si="1"/>
        <v>-6828554.9100000001</v>
      </c>
    </row>
    <row r="24" spans="2:21" ht="15" thickBot="1" x14ac:dyDescent="0.35">
      <c r="B24" s="124" t="s">
        <v>94</v>
      </c>
      <c r="C24" s="125">
        <v>3163940.14</v>
      </c>
      <c r="D24" s="126"/>
      <c r="J24" s="31">
        <f>+J23+I23</f>
        <v>329864.41000000201</v>
      </c>
    </row>
    <row r="25" spans="2:21" ht="15" thickBot="1" x14ac:dyDescent="0.35">
      <c r="B25" s="124" t="s">
        <v>95</v>
      </c>
      <c r="C25" s="127">
        <v>0</v>
      </c>
      <c r="D25" s="126"/>
    </row>
    <row r="26" spans="2:21" ht="15" thickBot="1" x14ac:dyDescent="0.35">
      <c r="B26" s="124" t="s">
        <v>96</v>
      </c>
      <c r="C26" s="125">
        <v>188305</v>
      </c>
      <c r="D26" s="126"/>
    </row>
    <row r="27" spans="2:21" ht="15" thickBot="1" x14ac:dyDescent="0.35">
      <c r="B27" s="124" t="s">
        <v>97</v>
      </c>
      <c r="C27" s="125">
        <v>965212.03</v>
      </c>
      <c r="D27" s="126"/>
      <c r="F27" s="31">
        <f>+E23+H23</f>
        <v>495861.22999999858</v>
      </c>
    </row>
    <row r="28" spans="2:21" ht="15" thickBot="1" x14ac:dyDescent="0.35">
      <c r="B28" s="124" t="s">
        <v>98</v>
      </c>
      <c r="C28" s="127">
        <v>0</v>
      </c>
      <c r="D28" s="126"/>
      <c r="E28" s="31" t="s">
        <v>114</v>
      </c>
      <c r="F28" s="31">
        <v>18670</v>
      </c>
      <c r="G28" s="31" t="s">
        <v>71</v>
      </c>
    </row>
    <row r="29" spans="2:21" ht="15" thickBot="1" x14ac:dyDescent="0.35">
      <c r="B29" s="124" t="s">
        <v>99</v>
      </c>
      <c r="C29" s="127">
        <v>6517</v>
      </c>
      <c r="D29" s="126"/>
      <c r="F29" s="31">
        <f>425+1795+3820+6040</f>
        <v>12080</v>
      </c>
      <c r="G29" s="31" t="s">
        <v>33</v>
      </c>
    </row>
    <row r="30" spans="2:21" ht="15" thickBot="1" x14ac:dyDescent="0.35">
      <c r="B30" s="124" t="s">
        <v>100</v>
      </c>
      <c r="C30" s="127">
        <v>18210</v>
      </c>
      <c r="D30" s="126"/>
      <c r="F30" s="31">
        <f>SUM(F27:F29)</f>
        <v>526611.22999999858</v>
      </c>
    </row>
    <row r="31" spans="2:21" ht="15" thickBot="1" x14ac:dyDescent="0.35">
      <c r="B31" s="124" t="s">
        <v>101</v>
      </c>
      <c r="C31" s="125">
        <v>2560.86</v>
      </c>
      <c r="D31" s="126"/>
    </row>
    <row r="32" spans="2:21" ht="15" thickBot="1" x14ac:dyDescent="0.35">
      <c r="B32" s="124" t="s">
        <v>102</v>
      </c>
      <c r="C32" s="127">
        <v>704.27</v>
      </c>
      <c r="D32" s="126"/>
    </row>
    <row r="33" spans="2:7" ht="15" thickBot="1" x14ac:dyDescent="0.35">
      <c r="B33" s="124" t="s">
        <v>103</v>
      </c>
      <c r="C33" s="127" t="s">
        <v>104</v>
      </c>
      <c r="D33" s="126"/>
    </row>
    <row r="34" spans="2:7" ht="15" thickBot="1" x14ac:dyDescent="0.35">
      <c r="B34" s="128" t="s">
        <v>105</v>
      </c>
      <c r="C34" s="129">
        <v>7155.63</v>
      </c>
      <c r="D34" s="126"/>
    </row>
    <row r="35" spans="2:7" ht="15" thickBot="1" x14ac:dyDescent="0.35">
      <c r="B35" s="130" t="s">
        <v>106</v>
      </c>
      <c r="C35" s="126"/>
      <c r="D35" s="126"/>
      <c r="E35" s="31" t="s">
        <v>116</v>
      </c>
      <c r="F35" s="31" t="s">
        <v>115</v>
      </c>
    </row>
    <row r="36" spans="2:7" ht="15" thickBot="1" x14ac:dyDescent="0.35">
      <c r="B36" s="131" t="s">
        <v>107</v>
      </c>
      <c r="C36" s="146" t="s">
        <v>108</v>
      </c>
      <c r="D36" s="147"/>
      <c r="E36" s="31">
        <f>+SUM(C37:C44)-C39</f>
        <v>39805250.109999999</v>
      </c>
      <c r="F36" s="31">
        <f>+E21+H21</f>
        <v>40301111.340000004</v>
      </c>
      <c r="G36" s="31">
        <f>+E36-F36</f>
        <v>-495861.23000000417</v>
      </c>
    </row>
    <row r="37" spans="2:7" ht="15" thickBot="1" x14ac:dyDescent="0.35">
      <c r="B37" s="124" t="s">
        <v>26</v>
      </c>
      <c r="C37" s="132">
        <v>23986366.23</v>
      </c>
      <c r="D37" s="133"/>
      <c r="G37" s="31">
        <v>19177.5</v>
      </c>
    </row>
    <row r="38" spans="2:7" ht="15" thickBot="1" x14ac:dyDescent="0.35">
      <c r="B38" s="124" t="s">
        <v>25</v>
      </c>
      <c r="C38" s="132">
        <v>13835519.199999999</v>
      </c>
      <c r="D38" s="133"/>
    </row>
    <row r="39" spans="2:7" ht="15" thickBot="1" x14ac:dyDescent="0.35">
      <c r="B39" s="124" t="s">
        <v>24</v>
      </c>
      <c r="C39" s="132">
        <v>6828554.9100000001</v>
      </c>
      <c r="D39" s="133"/>
      <c r="G39" s="31">
        <f>+G36-G37</f>
        <v>-515038.73000000417</v>
      </c>
    </row>
    <row r="40" spans="2:7" ht="15" thickBot="1" x14ac:dyDescent="0.35">
      <c r="B40" s="124" t="s">
        <v>28</v>
      </c>
      <c r="C40" s="132">
        <v>1084360.5</v>
      </c>
      <c r="D40" s="133"/>
    </row>
    <row r="41" spans="2:7" ht="15" thickBot="1" x14ac:dyDescent="0.35">
      <c r="B41" s="124" t="s">
        <v>27</v>
      </c>
      <c r="C41" s="132">
        <v>465254.1</v>
      </c>
      <c r="D41" s="133"/>
    </row>
    <row r="42" spans="2:7" ht="15" thickBot="1" x14ac:dyDescent="0.35">
      <c r="B42" s="124" t="s">
        <v>109</v>
      </c>
      <c r="C42" s="132">
        <v>402442.01</v>
      </c>
      <c r="D42" s="133"/>
    </row>
    <row r="43" spans="2:7" ht="15" thickBot="1" x14ac:dyDescent="0.35">
      <c r="B43" s="124" t="s">
        <v>110</v>
      </c>
      <c r="C43" s="132">
        <v>20595.57</v>
      </c>
      <c r="D43" s="133"/>
    </row>
    <row r="44" spans="2:7" ht="15" thickBot="1" x14ac:dyDescent="0.35">
      <c r="B44" s="124" t="s">
        <v>111</v>
      </c>
      <c r="C44" s="132">
        <v>10712.5</v>
      </c>
      <c r="D44" s="133"/>
    </row>
    <row r="45" spans="2:7" ht="15" thickBot="1" x14ac:dyDescent="0.35">
      <c r="B45" s="124" t="s">
        <v>30</v>
      </c>
      <c r="C45" s="132">
        <v>1060.5</v>
      </c>
      <c r="D45" s="133"/>
    </row>
    <row r="46" spans="2:7" ht="15" thickBot="1" x14ac:dyDescent="0.35">
      <c r="B46" s="124" t="s">
        <v>29</v>
      </c>
      <c r="C46" s="124">
        <v>700</v>
      </c>
      <c r="D46" s="133"/>
    </row>
    <row r="47" spans="2:7" ht="15" thickBot="1" x14ac:dyDescent="0.35">
      <c r="B47" s="124" t="s">
        <v>112</v>
      </c>
      <c r="C47" s="124">
        <v>0.03</v>
      </c>
      <c r="D47" s="133"/>
    </row>
    <row r="48" spans="2:7" ht="15" thickBot="1" x14ac:dyDescent="0.35">
      <c r="B48" s="128" t="s">
        <v>31</v>
      </c>
      <c r="C48" s="128">
        <v>0</v>
      </c>
      <c r="D48" s="134"/>
    </row>
    <row r="49" spans="2:4" x14ac:dyDescent="0.3">
      <c r="B49" s="126"/>
      <c r="C49" s="135"/>
      <c r="D49" s="126"/>
    </row>
  </sheetData>
  <mergeCells count="1">
    <mergeCell ref="C36:D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selection activeCell="E4" sqref="E4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38" t="s">
        <v>8</v>
      </c>
      <c r="U1" s="139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45689</v>
      </c>
      <c r="B3" s="11">
        <f>350+750+17620+13360</f>
        <v>32080</v>
      </c>
      <c r="C3" s="9">
        <f>B3/1.1</f>
        <v>29163.63636363636</v>
      </c>
      <c r="D3" s="9">
        <f>C3*0.1</f>
        <v>2916.363636363636</v>
      </c>
      <c r="E3" s="11">
        <f>10850+29125+2150+11100+10700+2300</f>
        <v>66225</v>
      </c>
      <c r="F3" s="9">
        <f>E3/1.2</f>
        <v>55187.5</v>
      </c>
      <c r="G3" s="9">
        <f>F3*0.2</f>
        <v>11037.5</v>
      </c>
      <c r="H3" s="11">
        <f>170+150+815+135</f>
        <v>1270</v>
      </c>
      <c r="I3" s="9">
        <f>H3/1.1</f>
        <v>1154.5454545454545</v>
      </c>
      <c r="J3" s="9">
        <f>I3*0.1</f>
        <v>115.45454545454545</v>
      </c>
      <c r="K3" s="11">
        <f>2200+3600+3400+1800</f>
        <v>11000</v>
      </c>
      <c r="L3" s="9">
        <f>K3/1.2</f>
        <v>9166.6666666666679</v>
      </c>
      <c r="M3" s="9">
        <f>L3*0.2</f>
        <v>1833.3333333333337</v>
      </c>
      <c r="N3" s="11">
        <v>1050</v>
      </c>
      <c r="O3" s="9">
        <f>N3/1.2</f>
        <v>875</v>
      </c>
      <c r="P3" s="9">
        <f>O3*0.2</f>
        <v>175</v>
      </c>
      <c r="Q3" s="11">
        <f>1050+785+1585+2300</f>
        <v>5720</v>
      </c>
      <c r="R3" s="11">
        <f>13570+33625+2150+32150+24410</f>
        <v>105905</v>
      </c>
      <c r="S3" s="9">
        <v>0</v>
      </c>
      <c r="T3" s="11">
        <v>200</v>
      </c>
      <c r="U3" s="17">
        <f>4525+11000+23535+37190+79895+1000</f>
        <v>157145</v>
      </c>
      <c r="V3" s="18" t="s">
        <v>18</v>
      </c>
    </row>
    <row r="4" spans="1:22" x14ac:dyDescent="0.3">
      <c r="A4" s="8">
        <v>45690</v>
      </c>
      <c r="B4" s="11">
        <f>33355+42425</f>
        <v>75780</v>
      </c>
      <c r="C4" s="9">
        <f t="shared" ref="C4:C28" si="0">B4/1.1</f>
        <v>68890.909090909088</v>
      </c>
      <c r="D4" s="9">
        <f t="shared" ref="D4:D28" si="1">C4*0.1</f>
        <v>6889.090909090909</v>
      </c>
      <c r="E4" s="11">
        <f>3550+8320</f>
        <v>11870</v>
      </c>
      <c r="F4" s="9">
        <f t="shared" ref="F4:F29" si="2">E4/1.2</f>
        <v>9891.6666666666679</v>
      </c>
      <c r="G4" s="9">
        <f t="shared" ref="G4:G28" si="3">F4*0.2</f>
        <v>1978.3333333333337</v>
      </c>
      <c r="H4" s="11">
        <f>860+1195</f>
        <v>2055</v>
      </c>
      <c r="I4" s="9">
        <f t="shared" ref="I4:I29" si="4">H4/1.1</f>
        <v>1868.181818181818</v>
      </c>
      <c r="J4" s="9">
        <f t="shared" ref="J4:J28" si="5">I4*0.1</f>
        <v>186.81818181818181</v>
      </c>
      <c r="K4" s="11">
        <f>1600+2100</f>
        <v>3700</v>
      </c>
      <c r="L4" s="9">
        <f t="shared" ref="L4:L29" si="6">K4/1.2</f>
        <v>3083.3333333333335</v>
      </c>
      <c r="M4" s="9">
        <f t="shared" ref="M4:M28" si="7">L4*0.2</f>
        <v>616.66666666666674</v>
      </c>
      <c r="N4" s="11">
        <f>310+200</f>
        <v>510</v>
      </c>
      <c r="O4" s="9">
        <f t="shared" ref="O4:O29" si="8">N4/1.2</f>
        <v>425</v>
      </c>
      <c r="P4" s="9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9">
        <v>0</v>
      </c>
      <c r="U4" s="17">
        <v>2700</v>
      </c>
      <c r="V4" s="3"/>
    </row>
    <row r="5" spans="1:22" x14ac:dyDescent="0.3">
      <c r="A5" s="8">
        <v>45692</v>
      </c>
      <c r="B5" s="11">
        <v>29620</v>
      </c>
      <c r="C5" s="9">
        <f t="shared" si="0"/>
        <v>26927.272727272724</v>
      </c>
      <c r="D5" s="9">
        <f t="shared" si="1"/>
        <v>2692.7272727272725</v>
      </c>
      <c r="E5" s="11">
        <v>12615</v>
      </c>
      <c r="F5" s="9">
        <f t="shared" si="2"/>
        <v>10512.5</v>
      </c>
      <c r="G5" s="9">
        <f t="shared" si="3"/>
        <v>2102.5</v>
      </c>
      <c r="H5" s="11">
        <v>840</v>
      </c>
      <c r="I5" s="9">
        <f t="shared" si="4"/>
        <v>763.63636363636363</v>
      </c>
      <c r="J5" s="9">
        <f t="shared" si="5"/>
        <v>76.36363636363636</v>
      </c>
      <c r="K5" s="11">
        <v>3000</v>
      </c>
      <c r="L5" s="9">
        <f t="shared" si="6"/>
        <v>2500</v>
      </c>
      <c r="M5" s="9">
        <f t="shared" si="7"/>
        <v>500</v>
      </c>
      <c r="N5" s="9">
        <v>0</v>
      </c>
      <c r="O5" s="9">
        <f t="shared" si="8"/>
        <v>0</v>
      </c>
      <c r="P5" s="9">
        <f t="shared" si="9"/>
        <v>0</v>
      </c>
      <c r="Q5" s="11">
        <v>5975</v>
      </c>
      <c r="R5" s="11">
        <v>34685</v>
      </c>
      <c r="S5" s="11">
        <v>5415</v>
      </c>
      <c r="T5" s="9">
        <v>0</v>
      </c>
      <c r="U5" s="17">
        <v>15650</v>
      </c>
      <c r="V5" s="3"/>
    </row>
    <row r="6" spans="1:22" x14ac:dyDescent="0.3">
      <c r="A6" s="8">
        <v>45693</v>
      </c>
      <c r="B6" s="11">
        <f>6930+7000</f>
        <v>13930</v>
      </c>
      <c r="C6" s="9">
        <f t="shared" si="0"/>
        <v>12663.636363636362</v>
      </c>
      <c r="D6" s="9">
        <f t="shared" si="1"/>
        <v>1266.3636363636363</v>
      </c>
      <c r="E6" s="11">
        <f>3650+7000</f>
        <v>10650</v>
      </c>
      <c r="F6" s="9">
        <f t="shared" si="2"/>
        <v>8875</v>
      </c>
      <c r="G6" s="9">
        <f t="shared" si="3"/>
        <v>1775</v>
      </c>
      <c r="H6" s="9">
        <v>0</v>
      </c>
      <c r="I6" s="9">
        <f t="shared" si="4"/>
        <v>0</v>
      </c>
      <c r="J6" s="9">
        <f t="shared" si="5"/>
        <v>0</v>
      </c>
      <c r="K6" s="11">
        <v>900</v>
      </c>
      <c r="L6" s="9">
        <f t="shared" si="6"/>
        <v>750</v>
      </c>
      <c r="M6" s="9">
        <f t="shared" si="7"/>
        <v>150</v>
      </c>
      <c r="N6" s="9">
        <v>0</v>
      </c>
      <c r="O6" s="9">
        <f t="shared" si="8"/>
        <v>0</v>
      </c>
      <c r="P6" s="9">
        <f t="shared" si="9"/>
        <v>0</v>
      </c>
      <c r="Q6" s="11">
        <f>1985+1000+7000</f>
        <v>9985</v>
      </c>
      <c r="R6" s="11">
        <f>9495+6000</f>
        <v>15495</v>
      </c>
      <c r="S6" s="9">
        <v>0</v>
      </c>
      <c r="T6" s="9">
        <v>0</v>
      </c>
      <c r="U6" s="17">
        <f>23175+600</f>
        <v>23775</v>
      </c>
      <c r="V6" s="3"/>
    </row>
    <row r="7" spans="1:22" x14ac:dyDescent="0.3">
      <c r="A7" s="8">
        <v>45694</v>
      </c>
      <c r="B7" s="11">
        <f>900+39220</f>
        <v>40120</v>
      </c>
      <c r="C7" s="9">
        <f t="shared" si="0"/>
        <v>36472.727272727272</v>
      </c>
      <c r="D7" s="9">
        <f t="shared" si="1"/>
        <v>3647.2727272727275</v>
      </c>
      <c r="E7" s="11">
        <f>1850+2100+5025+19910</f>
        <v>28885</v>
      </c>
      <c r="F7" s="9">
        <f t="shared" si="2"/>
        <v>24070.833333333336</v>
      </c>
      <c r="G7" s="9">
        <f t="shared" si="3"/>
        <v>4814.166666666667</v>
      </c>
      <c r="H7" s="11">
        <f>1350+150+3395</f>
        <v>4895</v>
      </c>
      <c r="I7" s="9">
        <f t="shared" si="4"/>
        <v>4450</v>
      </c>
      <c r="J7" s="9">
        <f t="shared" si="5"/>
        <v>445</v>
      </c>
      <c r="K7" s="11">
        <f>800+400+3900</f>
        <v>5100</v>
      </c>
      <c r="L7" s="9">
        <f t="shared" si="6"/>
        <v>4250</v>
      </c>
      <c r="M7" s="9">
        <f t="shared" si="7"/>
        <v>850</v>
      </c>
      <c r="N7" s="11">
        <v>770</v>
      </c>
      <c r="O7" s="9">
        <f t="shared" si="8"/>
        <v>641.66666666666674</v>
      </c>
      <c r="P7" s="9">
        <f t="shared" si="9"/>
        <v>128.33333333333334</v>
      </c>
      <c r="Q7" s="9">
        <v>0</v>
      </c>
      <c r="R7" s="11">
        <f>4000+2100+6475+67195</f>
        <v>79770</v>
      </c>
      <c r="S7" s="9">
        <v>0</v>
      </c>
      <c r="T7" s="9">
        <v>0</v>
      </c>
      <c r="U7" s="17">
        <v>14960</v>
      </c>
      <c r="V7" s="15"/>
    </row>
    <row r="8" spans="1:22" x14ac:dyDescent="0.3">
      <c r="A8" s="8">
        <v>45695</v>
      </c>
      <c r="B8" s="11">
        <f>41110.77+3890+14180+4370</f>
        <v>63550.77</v>
      </c>
      <c r="C8" s="9">
        <f t="shared" si="0"/>
        <v>57773.427272727262</v>
      </c>
      <c r="D8" s="9">
        <f t="shared" si="1"/>
        <v>5777.3427272727267</v>
      </c>
      <c r="E8" s="11">
        <f>6555.77+4195+3950+8620+6985</f>
        <v>30305.77</v>
      </c>
      <c r="F8" s="9">
        <f t="shared" si="2"/>
        <v>25254.808333333334</v>
      </c>
      <c r="G8" s="9">
        <f t="shared" si="3"/>
        <v>5050.961666666667</v>
      </c>
      <c r="H8" s="11">
        <f>2515+425+1525+300</f>
        <v>4765</v>
      </c>
      <c r="I8" s="9">
        <f t="shared" si="4"/>
        <v>4331.8181818181811</v>
      </c>
      <c r="J8" s="9">
        <f t="shared" si="5"/>
        <v>433.18181818181813</v>
      </c>
      <c r="K8" s="11">
        <f>2838.46+600+1200+1600+600</f>
        <v>6838.46</v>
      </c>
      <c r="L8" s="9">
        <f t="shared" si="6"/>
        <v>5698.7166666666672</v>
      </c>
      <c r="M8" s="9">
        <f t="shared" si="7"/>
        <v>1139.7433333333336</v>
      </c>
      <c r="N8" s="11">
        <v>600</v>
      </c>
      <c r="O8" s="9">
        <f t="shared" si="8"/>
        <v>500</v>
      </c>
      <c r="P8" s="9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9">
        <v>0</v>
      </c>
      <c r="U8" s="17">
        <f>34000+20700+12940+22200</f>
        <v>89840</v>
      </c>
      <c r="V8" s="3"/>
    </row>
    <row r="9" spans="1:22" x14ac:dyDescent="0.3">
      <c r="A9" s="8">
        <v>45696</v>
      </c>
      <c r="B9" s="11">
        <f>52310.3+5510+18095</f>
        <v>75915.3</v>
      </c>
      <c r="C9" s="9">
        <f t="shared" si="0"/>
        <v>69013.909090909088</v>
      </c>
      <c r="D9" s="9">
        <f t="shared" si="1"/>
        <v>6901.3909090909092</v>
      </c>
      <c r="E9" s="11">
        <f>29643.02+10850+14530+11300+8970</f>
        <v>75293.02</v>
      </c>
      <c r="F9" s="9">
        <f t="shared" si="2"/>
        <v>62744.183333333342</v>
      </c>
      <c r="G9" s="9">
        <f t="shared" si="3"/>
        <v>12548.83666666667</v>
      </c>
      <c r="H9" s="11">
        <f>1095+75+165+1800+850</f>
        <v>3985</v>
      </c>
      <c r="I9" s="9">
        <f t="shared" si="4"/>
        <v>3622.7272727272725</v>
      </c>
      <c r="J9" s="9">
        <f t="shared" si="5"/>
        <v>362.27272727272725</v>
      </c>
      <c r="K9" s="11">
        <f>6536.68+2800+1800+3200+2000</f>
        <v>16336.68</v>
      </c>
      <c r="L9" s="9">
        <f t="shared" si="6"/>
        <v>13613.900000000001</v>
      </c>
      <c r="M9" s="9">
        <f t="shared" si="7"/>
        <v>2722.7800000000007</v>
      </c>
      <c r="N9" s="11">
        <f>195+600</f>
        <v>795</v>
      </c>
      <c r="O9" s="9">
        <f t="shared" si="8"/>
        <v>662.5</v>
      </c>
      <c r="P9" s="9">
        <f t="shared" si="9"/>
        <v>132.5</v>
      </c>
      <c r="Q9" s="11">
        <f>3900+275+600</f>
        <v>4775</v>
      </c>
      <c r="R9" s="16">
        <f>85880+14050+22005+15700+29915</f>
        <v>167550</v>
      </c>
      <c r="S9" s="20">
        <v>0</v>
      </c>
      <c r="T9" s="9">
        <v>0</v>
      </c>
      <c r="U9" s="11">
        <f>10915+21227</f>
        <v>32142</v>
      </c>
      <c r="V9" s="3"/>
    </row>
    <row r="10" spans="1:22" x14ac:dyDescent="0.3">
      <c r="A10" s="8">
        <v>45697</v>
      </c>
      <c r="B10" s="11">
        <f>13545+56930</f>
        <v>70475</v>
      </c>
      <c r="C10" s="9">
        <f t="shared" si="0"/>
        <v>64068.181818181816</v>
      </c>
      <c r="D10" s="9">
        <f t="shared" si="1"/>
        <v>6406.818181818182</v>
      </c>
      <c r="E10" s="11">
        <f>4740+9995+10100</f>
        <v>24835</v>
      </c>
      <c r="F10" s="9">
        <f t="shared" si="2"/>
        <v>20695.833333333336</v>
      </c>
      <c r="G10" s="9">
        <f t="shared" si="3"/>
        <v>4139.166666666667</v>
      </c>
      <c r="H10" s="11">
        <f>850+1945+850</f>
        <v>3645</v>
      </c>
      <c r="I10" s="9">
        <f t="shared" si="4"/>
        <v>3313.6363636363635</v>
      </c>
      <c r="J10" s="9">
        <f t="shared" si="5"/>
        <v>331.36363636363637</v>
      </c>
      <c r="K10" s="11">
        <f>1500+2950+1200</f>
        <v>5650</v>
      </c>
      <c r="L10" s="9">
        <f t="shared" si="6"/>
        <v>4708.3333333333339</v>
      </c>
      <c r="M10" s="9">
        <f t="shared" si="7"/>
        <v>941.66666666666686</v>
      </c>
      <c r="N10" s="11">
        <f>300+580+800</f>
        <v>1680</v>
      </c>
      <c r="O10" s="9">
        <f t="shared" si="8"/>
        <v>1400</v>
      </c>
      <c r="P10" s="9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9">
        <v>0</v>
      </c>
      <c r="U10" s="17">
        <v>21545</v>
      </c>
      <c r="V10" s="3"/>
    </row>
    <row r="11" spans="1:22" x14ac:dyDescent="0.3">
      <c r="A11" s="8">
        <v>45699</v>
      </c>
      <c r="B11" s="11">
        <f>3120+35080+4320</f>
        <v>42520</v>
      </c>
      <c r="C11" s="9">
        <f t="shared" si="0"/>
        <v>38654.545454545449</v>
      </c>
      <c r="D11" s="9">
        <f t="shared" si="1"/>
        <v>3865.454545454545</v>
      </c>
      <c r="E11" s="11">
        <f>7190+12165+4900</f>
        <v>24255</v>
      </c>
      <c r="F11" s="9">
        <f t="shared" ref="F11" si="10">E11/1.2</f>
        <v>20212.5</v>
      </c>
      <c r="G11" s="9">
        <f t="shared" ref="G11" si="11">F11*0.2</f>
        <v>4042.5</v>
      </c>
      <c r="H11" s="11">
        <f>1115</f>
        <v>1115</v>
      </c>
      <c r="I11" s="9">
        <f t="shared" ref="I11" si="12">H11/1.1</f>
        <v>1013.6363636363635</v>
      </c>
      <c r="J11" s="9">
        <f t="shared" ref="J11" si="13">I11*0.1</f>
        <v>101.36363636363636</v>
      </c>
      <c r="K11" s="11">
        <f>1300+3600+600</f>
        <v>5500</v>
      </c>
      <c r="L11" s="9">
        <f t="shared" ref="L11" si="14">K11/1.2</f>
        <v>4583.3333333333339</v>
      </c>
      <c r="M11" s="9">
        <f t="shared" ref="M11" si="15">L11*0.2</f>
        <v>916.66666666666686</v>
      </c>
      <c r="N11" s="11">
        <v>1000</v>
      </c>
      <c r="O11" s="9">
        <f t="shared" ref="O11" si="16">N11/1.2</f>
        <v>833.33333333333337</v>
      </c>
      <c r="P11" s="9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9">
        <v>0</v>
      </c>
      <c r="U11" s="17">
        <v>109940</v>
      </c>
      <c r="V11" s="3"/>
    </row>
    <row r="12" spans="1:22" x14ac:dyDescent="0.3">
      <c r="A12" s="8">
        <v>45700</v>
      </c>
      <c r="B12" s="11">
        <f>2810+16920</f>
        <v>19730</v>
      </c>
      <c r="C12" s="9">
        <f t="shared" si="0"/>
        <v>17936.363636363636</v>
      </c>
      <c r="D12" s="9">
        <f t="shared" si="1"/>
        <v>1793.6363636363637</v>
      </c>
      <c r="E12" s="11">
        <f>6686.75+7620</f>
        <v>14306.75</v>
      </c>
      <c r="F12" s="9">
        <f t="shared" si="2"/>
        <v>11922.291666666668</v>
      </c>
      <c r="G12" s="9">
        <f t="shared" si="3"/>
        <v>2384.4583333333335</v>
      </c>
      <c r="H12" s="11">
        <f>135.54+435</f>
        <v>570.54</v>
      </c>
      <c r="I12" s="9">
        <f t="shared" si="4"/>
        <v>518.67272727272723</v>
      </c>
      <c r="J12" s="9">
        <f t="shared" si="5"/>
        <v>51.867272727272727</v>
      </c>
      <c r="K12" s="11">
        <f>977.71+1800</f>
        <v>2777.71</v>
      </c>
      <c r="L12" s="9">
        <f t="shared" si="6"/>
        <v>2314.7583333333337</v>
      </c>
      <c r="M12" s="9">
        <f t="shared" si="7"/>
        <v>462.95166666666677</v>
      </c>
      <c r="N12" s="11">
        <v>600</v>
      </c>
      <c r="O12" s="9">
        <f t="shared" si="8"/>
        <v>500</v>
      </c>
      <c r="P12" s="9">
        <f t="shared" si="9"/>
        <v>100</v>
      </c>
      <c r="Q12" s="9">
        <v>0</v>
      </c>
      <c r="R12" s="11">
        <f>10610+27375</f>
        <v>37985</v>
      </c>
      <c r="S12" s="9">
        <v>0</v>
      </c>
      <c r="T12" s="9">
        <v>0</v>
      </c>
      <c r="U12" s="14">
        <v>0</v>
      </c>
      <c r="V12" s="18"/>
    </row>
    <row r="13" spans="1:22" x14ac:dyDescent="0.3">
      <c r="A13" s="8">
        <v>45699</v>
      </c>
      <c r="B13" s="11">
        <f>4320+3120+35080</f>
        <v>42520</v>
      </c>
      <c r="C13" s="9">
        <f t="shared" si="0"/>
        <v>38654.545454545449</v>
      </c>
      <c r="D13" s="9">
        <f t="shared" si="1"/>
        <v>3865.454545454545</v>
      </c>
      <c r="E13" s="11">
        <f>4900+7190+12165</f>
        <v>24255</v>
      </c>
      <c r="F13" s="9">
        <f t="shared" si="2"/>
        <v>20212.5</v>
      </c>
      <c r="G13" s="9">
        <f t="shared" si="3"/>
        <v>4042.5</v>
      </c>
      <c r="H13" s="11">
        <v>1115</v>
      </c>
      <c r="I13" s="9">
        <f t="shared" si="4"/>
        <v>1013.6363636363635</v>
      </c>
      <c r="J13" s="9">
        <f t="shared" si="5"/>
        <v>101.36363636363636</v>
      </c>
      <c r="K13" s="11">
        <f>600+1300+3600</f>
        <v>5500</v>
      </c>
      <c r="L13" s="9">
        <f t="shared" si="6"/>
        <v>4583.3333333333339</v>
      </c>
      <c r="M13" s="9">
        <f t="shared" si="7"/>
        <v>916.66666666666686</v>
      </c>
      <c r="N13" s="11">
        <v>1000</v>
      </c>
      <c r="O13" s="9">
        <f t="shared" si="8"/>
        <v>833.33333333333337</v>
      </c>
      <c r="P13" s="9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9">
        <v>0</v>
      </c>
      <c r="U13" s="17">
        <v>109940</v>
      </c>
      <c r="V13" s="18"/>
    </row>
    <row r="14" spans="1:22" x14ac:dyDescent="0.3">
      <c r="A14" s="8">
        <v>45700</v>
      </c>
      <c r="B14" s="11">
        <f>2810+16920</f>
        <v>19730</v>
      </c>
      <c r="C14" s="9">
        <f t="shared" si="0"/>
        <v>17936.363636363636</v>
      </c>
      <c r="D14" s="9">
        <f t="shared" si="1"/>
        <v>1793.6363636363637</v>
      </c>
      <c r="E14" s="11">
        <f>6686.75+7620</f>
        <v>14306.75</v>
      </c>
      <c r="F14" s="9">
        <f t="shared" si="2"/>
        <v>11922.291666666668</v>
      </c>
      <c r="G14" s="9">
        <f t="shared" si="3"/>
        <v>2384.4583333333335</v>
      </c>
      <c r="H14" s="11">
        <f>135.54+435</f>
        <v>570.54</v>
      </c>
      <c r="I14" s="9">
        <f t="shared" si="4"/>
        <v>518.67272727272723</v>
      </c>
      <c r="J14" s="9">
        <f t="shared" si="5"/>
        <v>51.867272727272727</v>
      </c>
      <c r="K14" s="11">
        <f>977.71+1800</f>
        <v>2777.71</v>
      </c>
      <c r="L14" s="9">
        <f t="shared" si="6"/>
        <v>2314.7583333333337</v>
      </c>
      <c r="M14" s="9">
        <f t="shared" si="7"/>
        <v>462.95166666666677</v>
      </c>
      <c r="N14" s="11">
        <v>600</v>
      </c>
      <c r="O14" s="9">
        <f t="shared" si="8"/>
        <v>500</v>
      </c>
      <c r="P14" s="9">
        <f t="shared" si="9"/>
        <v>100</v>
      </c>
      <c r="Q14" s="9">
        <v>0</v>
      </c>
      <c r="R14" s="11">
        <f>10610+27375</f>
        <v>37985</v>
      </c>
      <c r="S14" s="9">
        <v>0</v>
      </c>
      <c r="T14" s="9">
        <v>0</v>
      </c>
      <c r="U14" s="14">
        <v>0</v>
      </c>
      <c r="V14" s="3"/>
    </row>
    <row r="15" spans="1:22" x14ac:dyDescent="0.3">
      <c r="A15" s="8">
        <v>45701</v>
      </c>
      <c r="B15" s="11">
        <f>2070+56260</f>
        <v>58330</v>
      </c>
      <c r="C15" s="9">
        <f t="shared" si="0"/>
        <v>53027.272727272721</v>
      </c>
      <c r="D15" s="9">
        <f t="shared" si="1"/>
        <v>5302.7272727272721</v>
      </c>
      <c r="E15" s="11">
        <f>1200+11165</f>
        <v>12365</v>
      </c>
      <c r="F15" s="9">
        <f t="shared" si="2"/>
        <v>10304.166666666668</v>
      </c>
      <c r="G15" s="9">
        <f t="shared" si="3"/>
        <v>2060.8333333333335</v>
      </c>
      <c r="H15" s="11">
        <v>4635</v>
      </c>
      <c r="I15" s="9">
        <f t="shared" si="4"/>
        <v>4213.6363636363631</v>
      </c>
      <c r="J15" s="9">
        <f t="shared" si="5"/>
        <v>421.36363636363632</v>
      </c>
      <c r="K15" s="11">
        <f>400+450+4950</f>
        <v>5800</v>
      </c>
      <c r="L15" s="9">
        <f t="shared" si="6"/>
        <v>4833.3333333333339</v>
      </c>
      <c r="M15" s="9">
        <f t="shared" si="7"/>
        <v>966.66666666666686</v>
      </c>
      <c r="N15" s="11">
        <v>450</v>
      </c>
      <c r="O15" s="9">
        <f t="shared" si="8"/>
        <v>375</v>
      </c>
      <c r="P15" s="9">
        <f t="shared" si="9"/>
        <v>75</v>
      </c>
      <c r="Q15" s="11">
        <v>4380</v>
      </c>
      <c r="R15" s="11">
        <f>1600+2970+72630</f>
        <v>77200</v>
      </c>
      <c r="S15" s="9">
        <v>0</v>
      </c>
      <c r="T15" s="9">
        <v>0</v>
      </c>
      <c r="U15" s="14">
        <v>0</v>
      </c>
      <c r="V15" s="3"/>
    </row>
    <row r="16" spans="1:22" x14ac:dyDescent="0.3">
      <c r="A16" s="8">
        <v>45702</v>
      </c>
      <c r="B16" s="11">
        <f>13782.43+69318.17+23450.8+21898.06</f>
        <v>128449.46</v>
      </c>
      <c r="C16" s="9">
        <f t="shared" si="0"/>
        <v>116772.23636363636</v>
      </c>
      <c r="D16" s="9">
        <f t="shared" si="1"/>
        <v>11677.223636363637</v>
      </c>
      <c r="E16" s="11">
        <f>4431.45+16474.67+9248.23+12997.08</f>
        <v>43151.43</v>
      </c>
      <c r="F16" s="9">
        <f t="shared" si="2"/>
        <v>35959.525000000001</v>
      </c>
      <c r="G16" s="9">
        <f t="shared" si="3"/>
        <v>7191.9050000000007</v>
      </c>
      <c r="H16" s="11">
        <f>645.44+1842.47+721.07+75</f>
        <v>3283.98</v>
      </c>
      <c r="I16" s="9">
        <f t="shared" si="4"/>
        <v>2985.4363636363632</v>
      </c>
      <c r="J16" s="9">
        <f t="shared" si="5"/>
        <v>298.54363636363632</v>
      </c>
      <c r="K16" s="11">
        <f>590.68+3383.56+1275.23+2980.01</f>
        <v>8229.48</v>
      </c>
      <c r="L16" s="9">
        <f t="shared" si="6"/>
        <v>6857.9</v>
      </c>
      <c r="M16" s="9">
        <f t="shared" si="7"/>
        <v>1371.58</v>
      </c>
      <c r="N16" s="11">
        <f>9096.13+3234.67+2159.85</f>
        <v>14490.65</v>
      </c>
      <c r="O16" s="9">
        <f t="shared" si="8"/>
        <v>12075.541666666666</v>
      </c>
      <c r="P16" s="9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9">
        <v>0</v>
      </c>
      <c r="U16" s="17">
        <f>80045+22890+10640+10670</f>
        <v>124245</v>
      </c>
      <c r="V16" s="3" t="s">
        <v>20</v>
      </c>
    </row>
    <row r="17" spans="1:22" x14ac:dyDescent="0.3">
      <c r="A17" s="8">
        <v>45703</v>
      </c>
      <c r="B17" s="11">
        <f>102261.79+6670+10460</f>
        <v>119391.79</v>
      </c>
      <c r="C17" s="9">
        <f t="shared" si="0"/>
        <v>108537.99090909089</v>
      </c>
      <c r="D17" s="9">
        <f t="shared" si="1"/>
        <v>10853.79909090909</v>
      </c>
      <c r="E17" s="11">
        <f>25812.48+14000+8085+4790</f>
        <v>52687.479999999996</v>
      </c>
      <c r="F17" s="9">
        <f t="shared" si="2"/>
        <v>43906.23333333333</v>
      </c>
      <c r="G17" s="9">
        <f t="shared" si="3"/>
        <v>8781.246666666666</v>
      </c>
      <c r="H17" s="11">
        <f>7175+925+300+90</f>
        <v>8490</v>
      </c>
      <c r="I17" s="9">
        <f t="shared" si="4"/>
        <v>7718.1818181818171</v>
      </c>
      <c r="J17" s="9">
        <f t="shared" si="5"/>
        <v>771.81818181818176</v>
      </c>
      <c r="K17" s="11">
        <f>9244.73+3450+2600+1050</f>
        <v>16344.73</v>
      </c>
      <c r="L17" s="9">
        <f t="shared" si="6"/>
        <v>13620.608333333334</v>
      </c>
      <c r="M17" s="9">
        <f t="shared" si="7"/>
        <v>2724.1216666666669</v>
      </c>
      <c r="N17" s="11">
        <v>500</v>
      </c>
      <c r="O17" s="9">
        <f t="shared" si="8"/>
        <v>416.66666666666669</v>
      </c>
      <c r="P17" s="9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9">
        <v>0</v>
      </c>
      <c r="T17" s="9">
        <v>0</v>
      </c>
      <c r="U17" s="17">
        <v>14170</v>
      </c>
      <c r="V17" s="3"/>
    </row>
    <row r="18" spans="1:22" x14ac:dyDescent="0.3">
      <c r="A18" s="8">
        <v>45704</v>
      </c>
      <c r="B18" s="11">
        <f>85950</f>
        <v>85950</v>
      </c>
      <c r="C18" s="9">
        <f t="shared" si="0"/>
        <v>78136.363636363632</v>
      </c>
      <c r="D18" s="9">
        <f t="shared" si="1"/>
        <v>7813.636363636364</v>
      </c>
      <c r="E18" s="11">
        <v>9885</v>
      </c>
      <c r="F18" s="9">
        <f t="shared" si="2"/>
        <v>8237.5</v>
      </c>
      <c r="G18" s="9">
        <f t="shared" si="3"/>
        <v>1647.5</v>
      </c>
      <c r="H18" s="11">
        <v>3415</v>
      </c>
      <c r="I18" s="9">
        <f t="shared" si="4"/>
        <v>3104.5454545454545</v>
      </c>
      <c r="J18" s="9">
        <f t="shared" si="5"/>
        <v>310.4545454545455</v>
      </c>
      <c r="K18" s="11">
        <v>4350</v>
      </c>
      <c r="L18" s="9">
        <f t="shared" si="6"/>
        <v>3625</v>
      </c>
      <c r="M18" s="9">
        <f t="shared" si="7"/>
        <v>725</v>
      </c>
      <c r="N18" s="9">
        <v>0</v>
      </c>
      <c r="O18" s="9">
        <f t="shared" si="8"/>
        <v>0</v>
      </c>
      <c r="P18" s="9">
        <f t="shared" si="9"/>
        <v>0</v>
      </c>
      <c r="Q18" s="11">
        <v>1800</v>
      </c>
      <c r="R18" s="11">
        <v>101800</v>
      </c>
      <c r="S18" s="9">
        <v>0</v>
      </c>
      <c r="T18" s="11">
        <v>12000</v>
      </c>
      <c r="U18" s="17">
        <v>28870</v>
      </c>
      <c r="V18" s="3"/>
    </row>
    <row r="19" spans="1:22" x14ac:dyDescent="0.3">
      <c r="A19" s="8">
        <v>45706</v>
      </c>
      <c r="B19" s="11">
        <v>33790</v>
      </c>
      <c r="C19" s="9">
        <f t="shared" si="0"/>
        <v>30718.181818181816</v>
      </c>
      <c r="D19" s="9">
        <f t="shared" si="1"/>
        <v>3071.818181818182</v>
      </c>
      <c r="E19" s="11">
        <f>1250+13865</f>
        <v>15115</v>
      </c>
      <c r="F19" s="9">
        <f t="shared" si="2"/>
        <v>12595.833333333334</v>
      </c>
      <c r="G19" s="9">
        <f t="shared" si="3"/>
        <v>2519.166666666667</v>
      </c>
      <c r="H19" s="11">
        <v>375</v>
      </c>
      <c r="I19" s="9">
        <f t="shared" si="4"/>
        <v>340.90909090909088</v>
      </c>
      <c r="J19" s="9">
        <f t="shared" si="5"/>
        <v>34.090909090909086</v>
      </c>
      <c r="K19" s="11">
        <f>400+2700</f>
        <v>3100</v>
      </c>
      <c r="L19" s="9">
        <f t="shared" si="6"/>
        <v>2583.3333333333335</v>
      </c>
      <c r="M19" s="9">
        <f t="shared" si="7"/>
        <v>516.66666666666674</v>
      </c>
      <c r="N19" s="9">
        <v>0</v>
      </c>
      <c r="O19" s="9">
        <f t="shared" si="8"/>
        <v>0</v>
      </c>
      <c r="P19" s="9">
        <f t="shared" si="9"/>
        <v>0</v>
      </c>
      <c r="Q19" s="11">
        <v>5000</v>
      </c>
      <c r="R19" s="11">
        <f>1650+41485</f>
        <v>43135</v>
      </c>
      <c r="S19" s="11">
        <v>4245</v>
      </c>
      <c r="T19" s="9">
        <v>0</v>
      </c>
      <c r="U19" s="17">
        <v>34500</v>
      </c>
      <c r="V19" s="3"/>
    </row>
    <row r="20" spans="1:22" x14ac:dyDescent="0.3">
      <c r="A20" s="8">
        <v>45707</v>
      </c>
      <c r="B20" s="11">
        <f>21320+11344.59+2780</f>
        <v>35444.589999999997</v>
      </c>
      <c r="C20" s="9">
        <f t="shared" si="0"/>
        <v>32222.354545454538</v>
      </c>
      <c r="D20" s="9">
        <f t="shared" si="1"/>
        <v>3222.2354545454541</v>
      </c>
      <c r="E20" s="11">
        <f>9065+4100+2400+3900</f>
        <v>19465</v>
      </c>
      <c r="F20" s="9">
        <f t="shared" si="2"/>
        <v>16220.833333333334</v>
      </c>
      <c r="G20" s="9">
        <f t="shared" si="3"/>
        <v>3244.166666666667</v>
      </c>
      <c r="H20" s="11">
        <f>270+1700+850+425</f>
        <v>3245</v>
      </c>
      <c r="I20" s="9">
        <f t="shared" si="4"/>
        <v>2949.9999999999995</v>
      </c>
      <c r="J20" s="9">
        <f t="shared" si="5"/>
        <v>294.99999999999994</v>
      </c>
      <c r="K20" s="11">
        <f>2100+1583.91+700+800</f>
        <v>5183.91</v>
      </c>
      <c r="L20" s="9">
        <f>K20/1.2</f>
        <v>4319.9250000000002</v>
      </c>
      <c r="M20" s="9">
        <f t="shared" si="7"/>
        <v>863.98500000000013</v>
      </c>
      <c r="N20" s="11">
        <v>690</v>
      </c>
      <c r="O20" s="9">
        <f t="shared" si="8"/>
        <v>575</v>
      </c>
      <c r="P20" s="9">
        <f t="shared" si="9"/>
        <v>115</v>
      </c>
      <c r="Q20" s="9">
        <v>0</v>
      </c>
      <c r="R20" s="11">
        <f>33445+18728.5+6730+5125</f>
        <v>64028.5</v>
      </c>
      <c r="S20" s="9">
        <v>0</v>
      </c>
      <c r="T20" s="9">
        <v>0</v>
      </c>
      <c r="U20" s="17">
        <f>11090+32330+37275</f>
        <v>80695</v>
      </c>
      <c r="V20" s="3"/>
    </row>
    <row r="21" spans="1:22" x14ac:dyDescent="0.3">
      <c r="A21" s="8">
        <v>45708</v>
      </c>
      <c r="B21" s="11">
        <f>30650+250</f>
        <v>30900</v>
      </c>
      <c r="C21" s="9">
        <f t="shared" si="0"/>
        <v>28090.909090909088</v>
      </c>
      <c r="D21" s="9">
        <f t="shared" si="1"/>
        <v>2809.090909090909</v>
      </c>
      <c r="E21" s="11">
        <f>11750+3000+3450</f>
        <v>18200</v>
      </c>
      <c r="F21" s="9">
        <f t="shared" si="2"/>
        <v>15166.666666666668</v>
      </c>
      <c r="G21" s="9">
        <f t="shared" si="3"/>
        <v>3033.3333333333339</v>
      </c>
      <c r="H21" s="11">
        <f>2630</f>
        <v>2630</v>
      </c>
      <c r="I21" s="9">
        <f t="shared" si="4"/>
        <v>2390.9090909090905</v>
      </c>
      <c r="J21" s="9">
        <f t="shared" si="5"/>
        <v>239.09090909090907</v>
      </c>
      <c r="K21" s="11">
        <f>3100+600+400</f>
        <v>4100</v>
      </c>
      <c r="L21" s="9">
        <f t="shared" si="6"/>
        <v>3416.666666666667</v>
      </c>
      <c r="M21" s="9">
        <f t="shared" si="7"/>
        <v>683.33333333333348</v>
      </c>
      <c r="N21" s="9">
        <v>0</v>
      </c>
      <c r="O21" s="9">
        <f t="shared" si="8"/>
        <v>0</v>
      </c>
      <c r="P21" s="9">
        <f t="shared" si="9"/>
        <v>0</v>
      </c>
      <c r="Q21" s="9">
        <v>0</v>
      </c>
      <c r="R21" s="11">
        <f>41035+3600+4100</f>
        <v>48735</v>
      </c>
      <c r="S21" s="11">
        <v>7095</v>
      </c>
      <c r="T21" s="9">
        <v>0</v>
      </c>
      <c r="U21" s="17">
        <v>10350</v>
      </c>
      <c r="V21" s="3"/>
    </row>
    <row r="22" spans="1:22" x14ac:dyDescent="0.3">
      <c r="A22" s="8">
        <v>45709</v>
      </c>
      <c r="B22" s="11">
        <f>1185+42800</f>
        <v>43985</v>
      </c>
      <c r="C22" s="9">
        <f t="shared" si="0"/>
        <v>39986.363636363632</v>
      </c>
      <c r="D22" s="9">
        <f t="shared" si="1"/>
        <v>3998.6363636363635</v>
      </c>
      <c r="E22" s="11">
        <f>4725+1850+8000+5400+8675</f>
        <v>28650</v>
      </c>
      <c r="F22" s="9">
        <f t="shared" si="2"/>
        <v>23875</v>
      </c>
      <c r="G22" s="9">
        <f t="shared" si="3"/>
        <v>4775</v>
      </c>
      <c r="H22" s="11">
        <f>810+75</f>
        <v>885</v>
      </c>
      <c r="I22" s="9">
        <f t="shared" si="4"/>
        <v>804.5454545454545</v>
      </c>
      <c r="J22" s="9">
        <f t="shared" si="5"/>
        <v>80.454545454545453</v>
      </c>
      <c r="K22" s="11">
        <f>800+450+3450+1000+1000</f>
        <v>6700</v>
      </c>
      <c r="L22" s="9">
        <f t="shared" si="6"/>
        <v>5583.3333333333339</v>
      </c>
      <c r="M22" s="9">
        <f t="shared" si="7"/>
        <v>1116.6666666666667</v>
      </c>
      <c r="N22" s="11">
        <f>300+150</f>
        <v>450</v>
      </c>
      <c r="O22" s="9">
        <f t="shared" si="8"/>
        <v>375</v>
      </c>
      <c r="P22" s="9">
        <f t="shared" si="9"/>
        <v>75</v>
      </c>
      <c r="Q22" s="11">
        <v>800</v>
      </c>
      <c r="R22" s="11">
        <f>5825+3485+55060+5600+9900</f>
        <v>79870</v>
      </c>
      <c r="S22" s="9">
        <v>0</v>
      </c>
      <c r="T22" s="11">
        <v>3625</v>
      </c>
      <c r="U22" s="17">
        <f>19510+1850+16355+6300</f>
        <v>44015</v>
      </c>
      <c r="V22" s="3"/>
    </row>
    <row r="23" spans="1:22" x14ac:dyDescent="0.3">
      <c r="A23" s="8">
        <v>45710</v>
      </c>
      <c r="B23" s="11">
        <f>250+5870+450+61990</f>
        <v>68560</v>
      </c>
      <c r="C23" s="9">
        <f t="shared" si="0"/>
        <v>62327.272727272721</v>
      </c>
      <c r="D23" s="9">
        <f t="shared" si="1"/>
        <v>6232.7272727272721</v>
      </c>
      <c r="E23" s="11">
        <f>13000+4240+20200+24770</f>
        <v>62210</v>
      </c>
      <c r="F23" s="9">
        <f t="shared" si="2"/>
        <v>51841.666666666672</v>
      </c>
      <c r="G23" s="9">
        <f t="shared" si="3"/>
        <v>10368.333333333336</v>
      </c>
      <c r="H23" s="11">
        <f>1275+230+1075+445</f>
        <v>3025</v>
      </c>
      <c r="I23" s="9">
        <f t="shared" si="4"/>
        <v>2750</v>
      </c>
      <c r="J23" s="9">
        <f t="shared" si="5"/>
        <v>275</v>
      </c>
      <c r="K23" s="11">
        <v>12500</v>
      </c>
      <c r="L23" s="9">
        <f t="shared" si="6"/>
        <v>10416.666666666668</v>
      </c>
      <c r="M23" s="9">
        <f t="shared" si="7"/>
        <v>2083.3333333333335</v>
      </c>
      <c r="N23" s="11">
        <f>600+750+2265</f>
        <v>3615</v>
      </c>
      <c r="O23" s="9">
        <f t="shared" si="8"/>
        <v>3012.5</v>
      </c>
      <c r="P23" s="9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9">
        <v>0</v>
      </c>
      <c r="U23" s="14">
        <f>13055+7170+31740+53555</f>
        <v>105520</v>
      </c>
      <c r="V23" s="3"/>
    </row>
    <row r="24" spans="1:22" x14ac:dyDescent="0.3">
      <c r="A24" s="8">
        <v>45711</v>
      </c>
      <c r="B24" s="11">
        <f>48045</f>
        <v>48045</v>
      </c>
      <c r="C24" s="9">
        <f t="shared" si="0"/>
        <v>43677.272727272721</v>
      </c>
      <c r="D24" s="9">
        <f t="shared" si="1"/>
        <v>4367.7272727272721</v>
      </c>
      <c r="E24" s="11">
        <f>7590</f>
        <v>7590</v>
      </c>
      <c r="F24" s="9">
        <f t="shared" si="2"/>
        <v>6325</v>
      </c>
      <c r="G24" s="9">
        <f t="shared" si="3"/>
        <v>1265</v>
      </c>
      <c r="H24" s="11">
        <f>2500+850</f>
        <v>3350</v>
      </c>
      <c r="I24" s="9">
        <f t="shared" si="4"/>
        <v>3045.454545454545</v>
      </c>
      <c r="J24" s="9">
        <f t="shared" si="5"/>
        <v>304.5454545454545</v>
      </c>
      <c r="K24" s="11">
        <f>3000+400</f>
        <v>3400</v>
      </c>
      <c r="L24" s="9">
        <f t="shared" si="6"/>
        <v>2833.3333333333335</v>
      </c>
      <c r="M24" s="9">
        <f t="shared" si="7"/>
        <v>566.66666666666674</v>
      </c>
      <c r="N24" s="9">
        <v>0</v>
      </c>
      <c r="O24" s="9">
        <f t="shared" si="8"/>
        <v>0</v>
      </c>
      <c r="P24" s="9">
        <f t="shared" si="9"/>
        <v>0</v>
      </c>
      <c r="Q24" s="11">
        <v>9780</v>
      </c>
      <c r="R24" s="11">
        <f>51355+1250</f>
        <v>52605</v>
      </c>
      <c r="S24" s="9">
        <v>0</v>
      </c>
      <c r="T24" s="9">
        <v>0</v>
      </c>
      <c r="U24" s="17">
        <v>28910</v>
      </c>
      <c r="V24" s="3"/>
    </row>
    <row r="25" spans="1:22" x14ac:dyDescent="0.3">
      <c r="A25" s="8">
        <v>45713</v>
      </c>
      <c r="B25" s="11">
        <f>4208.11+20915</f>
        <v>25123.11</v>
      </c>
      <c r="C25" s="9">
        <f t="shared" si="0"/>
        <v>22839.190909090907</v>
      </c>
      <c r="D25" s="9">
        <f t="shared" si="1"/>
        <v>2283.9190909090908</v>
      </c>
      <c r="E25" s="11">
        <f>7925+3021.58</f>
        <v>10946.58</v>
      </c>
      <c r="F25" s="9">
        <f t="shared" si="2"/>
        <v>9122.15</v>
      </c>
      <c r="G25" s="9">
        <f t="shared" si="3"/>
        <v>1824.43</v>
      </c>
      <c r="H25" s="11">
        <f>875+200</f>
        <v>1075</v>
      </c>
      <c r="I25" s="9">
        <f t="shared" si="4"/>
        <v>977.27272727272714</v>
      </c>
      <c r="J25" s="9">
        <f t="shared" si="5"/>
        <v>97.72727272727272</v>
      </c>
      <c r="K25" s="11">
        <f>2400+875.54</f>
        <v>3275.54</v>
      </c>
      <c r="L25" s="9">
        <f t="shared" si="6"/>
        <v>2729.6166666666668</v>
      </c>
      <c r="M25" s="9">
        <f t="shared" si="7"/>
        <v>545.9233333333334</v>
      </c>
      <c r="N25" s="11">
        <v>1534.77</v>
      </c>
      <c r="O25" s="9">
        <f t="shared" si="8"/>
        <v>1278.9750000000001</v>
      </c>
      <c r="P25" s="9">
        <f t="shared" si="9"/>
        <v>255.79500000000004</v>
      </c>
      <c r="Q25" s="9">
        <v>0</v>
      </c>
      <c r="R25" s="11">
        <f>32115+9840</f>
        <v>41955</v>
      </c>
      <c r="S25" s="9">
        <v>0</v>
      </c>
      <c r="T25" s="9">
        <v>0</v>
      </c>
      <c r="U25" s="17">
        <f>25530+5000</f>
        <v>30530</v>
      </c>
      <c r="V25" s="3"/>
    </row>
    <row r="26" spans="1:22" x14ac:dyDescent="0.3">
      <c r="A26" s="8">
        <v>45714</v>
      </c>
      <c r="B26" s="11">
        <f>3060+19750+11925</f>
        <v>34735</v>
      </c>
      <c r="C26" s="9">
        <f t="shared" si="0"/>
        <v>31577.272727272724</v>
      </c>
      <c r="D26" s="9">
        <f t="shared" si="1"/>
        <v>3157.7272727272725</v>
      </c>
      <c r="E26" s="11">
        <f>1550+14690+2165</f>
        <v>18405</v>
      </c>
      <c r="F26" s="9">
        <f t="shared" si="2"/>
        <v>15337.5</v>
      </c>
      <c r="G26" s="9">
        <f t="shared" si="3"/>
        <v>3067.5</v>
      </c>
      <c r="H26" s="11">
        <f>325+1150</f>
        <v>1475</v>
      </c>
      <c r="I26" s="9">
        <f t="shared" si="4"/>
        <v>1340.9090909090908</v>
      </c>
      <c r="J26" s="9">
        <f t="shared" si="5"/>
        <v>134.09090909090909</v>
      </c>
      <c r="K26" s="11">
        <f>300+1800+1300</f>
        <v>3400</v>
      </c>
      <c r="L26" s="9">
        <f t="shared" si="6"/>
        <v>2833.3333333333335</v>
      </c>
      <c r="M26" s="9">
        <f t="shared" si="7"/>
        <v>566.66666666666674</v>
      </c>
      <c r="N26" s="11">
        <v>265</v>
      </c>
      <c r="O26" s="9">
        <f t="shared" si="8"/>
        <v>220.83333333333334</v>
      </c>
      <c r="P26" s="9">
        <f t="shared" si="9"/>
        <v>44.166666666666671</v>
      </c>
      <c r="Q26" s="9">
        <f>0</f>
        <v>0</v>
      </c>
      <c r="R26" s="11">
        <f>4910+36830+16540</f>
        <v>58280</v>
      </c>
      <c r="S26" s="9">
        <v>0</v>
      </c>
      <c r="T26" s="11">
        <v>6472</v>
      </c>
      <c r="U26" s="17">
        <f>35213</f>
        <v>35213</v>
      </c>
      <c r="V26" s="3"/>
    </row>
    <row r="27" spans="1:22" x14ac:dyDescent="0.3">
      <c r="A27" s="8">
        <v>45715</v>
      </c>
      <c r="B27" s="11">
        <f>1995+3235+30550</f>
        <v>35780</v>
      </c>
      <c r="C27" s="9">
        <f t="shared" si="0"/>
        <v>32527.272727272724</v>
      </c>
      <c r="D27" s="9">
        <f t="shared" si="1"/>
        <v>3252.7272727272725</v>
      </c>
      <c r="E27" s="11">
        <f>3900+2200+11750</f>
        <v>17850</v>
      </c>
      <c r="F27" s="9">
        <f t="shared" si="2"/>
        <v>14875</v>
      </c>
      <c r="G27" s="9">
        <f t="shared" si="3"/>
        <v>2975</v>
      </c>
      <c r="H27" s="11">
        <f>200+620</f>
        <v>820</v>
      </c>
      <c r="I27" s="9">
        <f t="shared" si="4"/>
        <v>745.45454545454538</v>
      </c>
      <c r="J27" s="9">
        <f t="shared" si="5"/>
        <v>74.545454545454547</v>
      </c>
      <c r="K27" s="11">
        <f>300+3600+300</f>
        <v>4200</v>
      </c>
      <c r="L27" s="9">
        <f t="shared" si="6"/>
        <v>3500</v>
      </c>
      <c r="M27" s="9">
        <f t="shared" si="7"/>
        <v>700</v>
      </c>
      <c r="N27" s="11">
        <v>1050</v>
      </c>
      <c r="O27" s="9">
        <f t="shared" si="8"/>
        <v>875</v>
      </c>
      <c r="P27" s="9">
        <f t="shared" si="9"/>
        <v>175</v>
      </c>
      <c r="Q27" s="11">
        <v>3170</v>
      </c>
      <c r="R27" s="11">
        <f>6395+5735+44400</f>
        <v>56530</v>
      </c>
      <c r="S27" s="9">
        <v>0</v>
      </c>
      <c r="T27" s="9">
        <v>0</v>
      </c>
      <c r="U27" s="17">
        <f>19600+7775</f>
        <v>27375</v>
      </c>
      <c r="V27" s="3"/>
    </row>
    <row r="28" spans="1:22" x14ac:dyDescent="0.3">
      <c r="A28" s="8">
        <v>45716</v>
      </c>
      <c r="B28" s="11">
        <f>2100+2090+2350+450+41780</f>
        <v>48770</v>
      </c>
      <c r="C28" s="9">
        <f t="shared" si="0"/>
        <v>44336.363636363632</v>
      </c>
      <c r="D28" s="9">
        <f t="shared" si="1"/>
        <v>4433.6363636363631</v>
      </c>
      <c r="E28" s="11">
        <f>3050+12325</f>
        <v>15375</v>
      </c>
      <c r="F28" s="9">
        <f t="shared" si="2"/>
        <v>12812.5</v>
      </c>
      <c r="G28" s="9">
        <f t="shared" si="3"/>
        <v>2562.5</v>
      </c>
      <c r="H28" s="11">
        <f>170+1275+135+2025</f>
        <v>3605</v>
      </c>
      <c r="I28" s="9">
        <f t="shared" si="4"/>
        <v>3277.272727272727</v>
      </c>
      <c r="J28" s="9">
        <f t="shared" si="5"/>
        <v>327.72727272727275</v>
      </c>
      <c r="K28" s="11">
        <f>300+450+300+600+4450</f>
        <v>6100</v>
      </c>
      <c r="L28" s="9">
        <f t="shared" si="6"/>
        <v>5083.3333333333339</v>
      </c>
      <c r="M28" s="9">
        <f t="shared" si="7"/>
        <v>1016.6666666666669</v>
      </c>
      <c r="N28" s="11">
        <f>450+300+900</f>
        <v>1650</v>
      </c>
      <c r="O28" s="9">
        <f t="shared" si="8"/>
        <v>1375</v>
      </c>
      <c r="P28" s="9">
        <f t="shared" si="9"/>
        <v>275</v>
      </c>
      <c r="Q28" s="11">
        <f>3250</f>
        <v>3250</v>
      </c>
      <c r="R28" s="11">
        <f>2570+4265+3085+4100+58230</f>
        <v>72250</v>
      </c>
      <c r="S28" s="9">
        <v>0</v>
      </c>
      <c r="T28" s="9">
        <v>0</v>
      </c>
      <c r="U28" s="17">
        <f>16620+21610+7300</f>
        <v>45530</v>
      </c>
      <c r="V28" s="3"/>
    </row>
    <row r="29" spans="1:22" x14ac:dyDescent="0.3">
      <c r="B29" s="6">
        <f>SUM(B3:B28)</f>
        <v>1323225.0200000003</v>
      </c>
      <c r="C29" s="10">
        <f>B29/1.1</f>
        <v>1202931.8363636364</v>
      </c>
      <c r="D29" s="10">
        <f t="shared" ref="D29" si="18">C29*10/100</f>
        <v>120293.18363636364</v>
      </c>
      <c r="E29" s="6">
        <f>SUM(E3:E28)</f>
        <v>669697.77999999991</v>
      </c>
      <c r="F29" s="10">
        <f t="shared" si="2"/>
        <v>558081.48333333328</v>
      </c>
      <c r="G29" s="10">
        <f t="shared" ref="G29" si="19">F29*20/100</f>
        <v>111616.29666666666</v>
      </c>
      <c r="H29" s="6">
        <f>SUM(H3:H28)</f>
        <v>65135.06</v>
      </c>
      <c r="I29" s="10">
        <f t="shared" si="4"/>
        <v>59213.690909090903</v>
      </c>
      <c r="J29" s="10">
        <f t="shared" ref="J29" si="20">I29*10/100</f>
        <v>5921.369090909091</v>
      </c>
      <c r="K29" s="6">
        <f>SUM(K3:K28)</f>
        <v>155764.22</v>
      </c>
      <c r="L29" s="10">
        <f t="shared" si="6"/>
        <v>129803.51666666668</v>
      </c>
      <c r="M29" s="10">
        <f t="shared" ref="M29" si="21">L29*20/100</f>
        <v>25960.703333333335</v>
      </c>
      <c r="N29" s="6">
        <f>SUM(N3:N28)</f>
        <v>33300.42</v>
      </c>
      <c r="O29" s="10">
        <f t="shared" si="8"/>
        <v>27750.35</v>
      </c>
      <c r="P29" s="10">
        <f t="shared" ref="P29" si="22">O29*20/100</f>
        <v>5550.07</v>
      </c>
      <c r="Q29" s="6">
        <f>SUM(Q3:Q28)</f>
        <v>94363</v>
      </c>
      <c r="R29" s="6">
        <f>SUM(R3:R28)</f>
        <v>2080132.5</v>
      </c>
      <c r="S29" s="6"/>
      <c r="T29" s="6">
        <f>SUM(T3:T28)</f>
        <v>22297</v>
      </c>
      <c r="U29" s="6">
        <f>SUM(U4:U28)</f>
        <v>1030415</v>
      </c>
      <c r="V29" s="3"/>
    </row>
    <row r="30" spans="1:22" x14ac:dyDescent="0.3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2" x14ac:dyDescent="0.3">
      <c r="H31" s="5"/>
    </row>
    <row r="32" spans="1:22" s="23" customFormat="1" x14ac:dyDescent="0.3">
      <c r="A32" s="23" t="s">
        <v>23</v>
      </c>
      <c r="V32" s="24"/>
    </row>
    <row r="33" spans="1:22" s="23" customFormat="1" x14ac:dyDescent="0.3">
      <c r="A33" s="23" t="s">
        <v>21</v>
      </c>
      <c r="B33" s="23">
        <v>2100</v>
      </c>
      <c r="E33" s="23">
        <v>0</v>
      </c>
      <c r="H33" s="23">
        <v>170</v>
      </c>
      <c r="K33" s="23">
        <v>300</v>
      </c>
      <c r="N33" s="23">
        <v>0</v>
      </c>
      <c r="Q33" s="23">
        <v>0</v>
      </c>
      <c r="R33" s="23">
        <v>2570</v>
      </c>
      <c r="V33" s="24"/>
    </row>
    <row r="34" spans="1:22" s="23" customFormat="1" x14ac:dyDescent="0.3">
      <c r="A34" s="24" t="s">
        <v>22</v>
      </c>
      <c r="B34" s="23">
        <v>450</v>
      </c>
      <c r="E34" s="23">
        <v>3050</v>
      </c>
      <c r="H34" s="23">
        <v>0</v>
      </c>
      <c r="K34" s="23">
        <v>600</v>
      </c>
      <c r="N34" s="23">
        <v>0</v>
      </c>
      <c r="Q34" s="23">
        <v>0</v>
      </c>
      <c r="R34" s="23">
        <v>4100</v>
      </c>
      <c r="V34" s="24"/>
    </row>
    <row r="35" spans="1:22" s="21" customFormat="1" x14ac:dyDescent="0.3">
      <c r="A35" s="22"/>
      <c r="V35" s="22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10" workbookViewId="0">
      <selection activeCell="A32" sqref="A32:XFD32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38" t="s">
        <v>8</v>
      </c>
      <c r="U1" s="139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45717</v>
      </c>
      <c r="B3" s="11">
        <f>15000+6000+2100+450</f>
        <v>23550</v>
      </c>
      <c r="C3" s="9">
        <f>B3/1.1</f>
        <v>21409.090909090908</v>
      </c>
      <c r="D3" s="9">
        <f>C3*0.1</f>
        <v>2140.909090909091</v>
      </c>
      <c r="E3" s="11">
        <v>3050</v>
      </c>
      <c r="F3" s="9">
        <f>E3/1.2</f>
        <v>2541.666666666667</v>
      </c>
      <c r="G3" s="9">
        <f>F3*0.2</f>
        <v>508.33333333333343</v>
      </c>
      <c r="H3" s="11">
        <f>400+640+170</f>
        <v>1210</v>
      </c>
      <c r="I3" s="9">
        <f>H3/1.1</f>
        <v>1100</v>
      </c>
      <c r="J3" s="9">
        <f>I3*0.1</f>
        <v>110</v>
      </c>
      <c r="K3" s="11">
        <v>900</v>
      </c>
      <c r="L3" s="9">
        <f>K3/1.2</f>
        <v>750</v>
      </c>
      <c r="M3" s="9">
        <f>L3*0.2</f>
        <v>150</v>
      </c>
      <c r="N3" s="11">
        <f>620+700</f>
        <v>1320</v>
      </c>
      <c r="O3" s="9">
        <f>N3/1.2</f>
        <v>1100</v>
      </c>
      <c r="P3" s="9">
        <f>O3*0.2</f>
        <v>220</v>
      </c>
      <c r="Q3" s="9">
        <v>0</v>
      </c>
      <c r="R3" s="11">
        <f>16020+7340+4100+2570</f>
        <v>30030</v>
      </c>
      <c r="S3" s="9">
        <v>0</v>
      </c>
      <c r="T3" s="9">
        <v>0</v>
      </c>
      <c r="U3" s="17">
        <v>25500</v>
      </c>
      <c r="V3" s="18"/>
    </row>
    <row r="4" spans="1:22" x14ac:dyDescent="0.3">
      <c r="A4" s="8">
        <v>45718</v>
      </c>
      <c r="B4" s="11">
        <v>18000</v>
      </c>
      <c r="C4" s="9">
        <f t="shared" ref="C4:C31" si="0">B4/1.1</f>
        <v>16363.636363636362</v>
      </c>
      <c r="D4" s="9">
        <f t="shared" ref="D4:D31" si="1">C4*0.1</f>
        <v>1636.3636363636363</v>
      </c>
      <c r="E4" s="9">
        <v>0</v>
      </c>
      <c r="F4" s="9">
        <f t="shared" ref="F4:F32" si="2">E4/1.2</f>
        <v>0</v>
      </c>
      <c r="G4" s="9">
        <f t="shared" ref="G4:G31" si="3">F4*0.2</f>
        <v>0</v>
      </c>
      <c r="H4" s="11">
        <v>200</v>
      </c>
      <c r="I4" s="9">
        <f t="shared" ref="I4:I32" si="4">H4/1.1</f>
        <v>181.81818181818181</v>
      </c>
      <c r="J4" s="9">
        <f t="shared" ref="J4:J31" si="5">I4*0.1</f>
        <v>18.181818181818183</v>
      </c>
      <c r="K4" s="9">
        <v>0</v>
      </c>
      <c r="L4" s="9">
        <f t="shared" ref="L4:L32" si="6">K4/1.2</f>
        <v>0</v>
      </c>
      <c r="M4" s="9">
        <f t="shared" ref="M4:M31" si="7">L4*0.2</f>
        <v>0</v>
      </c>
      <c r="N4" s="11">
        <v>450</v>
      </c>
      <c r="O4" s="9">
        <f t="shared" ref="O4:O32" si="8">N4/1.2</f>
        <v>375</v>
      </c>
      <c r="P4" s="9">
        <f t="shared" ref="P4:P31" si="9">O4*0.2</f>
        <v>75</v>
      </c>
      <c r="Q4" s="11">
        <v>2000</v>
      </c>
      <c r="R4" s="11">
        <v>16650</v>
      </c>
      <c r="S4" s="9">
        <v>0</v>
      </c>
      <c r="T4" s="9">
        <v>0</v>
      </c>
      <c r="U4" s="14">
        <v>0</v>
      </c>
      <c r="V4" s="3"/>
    </row>
    <row r="5" spans="1:22" x14ac:dyDescent="0.3">
      <c r="A5" s="8">
        <v>45719</v>
      </c>
      <c r="B5" s="11">
        <v>22500</v>
      </c>
      <c r="C5" s="9">
        <f t="shared" si="0"/>
        <v>20454.545454545452</v>
      </c>
      <c r="D5" s="9">
        <f t="shared" si="1"/>
        <v>2045.4545454545453</v>
      </c>
      <c r="E5" s="9">
        <v>0</v>
      </c>
      <c r="F5" s="9">
        <f t="shared" si="2"/>
        <v>0</v>
      </c>
      <c r="G5" s="9">
        <f t="shared" si="3"/>
        <v>0</v>
      </c>
      <c r="H5" s="11">
        <v>1040</v>
      </c>
      <c r="I5" s="9">
        <f t="shared" si="4"/>
        <v>945.45454545454538</v>
      </c>
      <c r="J5" s="9">
        <f t="shared" si="5"/>
        <v>94.545454545454547</v>
      </c>
      <c r="K5" s="9">
        <v>0</v>
      </c>
      <c r="L5" s="9">
        <f t="shared" si="6"/>
        <v>0</v>
      </c>
      <c r="M5" s="9">
        <f t="shared" si="7"/>
        <v>0</v>
      </c>
      <c r="N5" s="9">
        <v>0</v>
      </c>
      <c r="O5" s="9">
        <f t="shared" si="8"/>
        <v>0</v>
      </c>
      <c r="P5" s="9">
        <f t="shared" si="9"/>
        <v>0</v>
      </c>
      <c r="Q5" s="11">
        <v>3000</v>
      </c>
      <c r="R5" s="11">
        <v>20540</v>
      </c>
      <c r="S5" s="9">
        <v>0</v>
      </c>
      <c r="T5" s="9">
        <v>0</v>
      </c>
      <c r="U5" s="14">
        <v>0</v>
      </c>
      <c r="V5" s="3"/>
    </row>
    <row r="6" spans="1:22" x14ac:dyDescent="0.3">
      <c r="A6" s="8">
        <v>45720</v>
      </c>
      <c r="B6" s="11">
        <f>24000+3000</f>
        <v>27000</v>
      </c>
      <c r="C6" s="9">
        <f t="shared" si="0"/>
        <v>24545.454545454544</v>
      </c>
      <c r="D6" s="9">
        <f t="shared" si="1"/>
        <v>2454.5454545454545</v>
      </c>
      <c r="E6" s="9">
        <v>0</v>
      </c>
      <c r="F6" s="9">
        <f t="shared" si="2"/>
        <v>0</v>
      </c>
      <c r="G6" s="9">
        <f t="shared" si="3"/>
        <v>0</v>
      </c>
      <c r="H6" s="11">
        <v>870</v>
      </c>
      <c r="I6" s="9">
        <f t="shared" si="4"/>
        <v>790.90909090909088</v>
      </c>
      <c r="J6" s="9">
        <f t="shared" si="5"/>
        <v>79.090909090909093</v>
      </c>
      <c r="K6" s="9">
        <v>0</v>
      </c>
      <c r="L6" s="9">
        <f t="shared" si="6"/>
        <v>0</v>
      </c>
      <c r="M6" s="9">
        <f t="shared" si="7"/>
        <v>0</v>
      </c>
      <c r="N6" s="9">
        <v>0</v>
      </c>
      <c r="O6" s="9">
        <f t="shared" si="8"/>
        <v>0</v>
      </c>
      <c r="P6" s="9">
        <f t="shared" si="9"/>
        <v>0</v>
      </c>
      <c r="Q6" s="11">
        <v>1600</v>
      </c>
      <c r="R6" s="11">
        <f>23270+3000</f>
        <v>26270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45721</v>
      </c>
      <c r="B7" s="11">
        <f>12000+3000</f>
        <v>15000</v>
      </c>
      <c r="C7" s="9">
        <f t="shared" ref="C7:C17" si="10">B7/1.1</f>
        <v>13636.363636363636</v>
      </c>
      <c r="D7" s="9">
        <f t="shared" ref="D7:D17" si="11">C7*0.1</f>
        <v>1363.6363636363637</v>
      </c>
      <c r="E7" s="9">
        <v>0</v>
      </c>
      <c r="F7" s="9">
        <f t="shared" ref="F7:F17" si="12">E7/1.2</f>
        <v>0</v>
      </c>
      <c r="G7" s="9">
        <f t="shared" ref="G7:G17" si="13">F7*0.2</f>
        <v>0</v>
      </c>
      <c r="H7" s="11">
        <v>200</v>
      </c>
      <c r="I7" s="9">
        <f t="shared" ref="I7:I17" si="14">H7/1.1</f>
        <v>181.81818181818181</v>
      </c>
      <c r="J7" s="9">
        <f t="shared" ref="J7:J17" si="15">I7*0.1</f>
        <v>18.181818181818183</v>
      </c>
      <c r="K7" s="9">
        <v>0</v>
      </c>
      <c r="L7" s="9">
        <f t="shared" ref="L7:L17" si="16">K7/1.2</f>
        <v>0</v>
      </c>
      <c r="M7" s="9">
        <f t="shared" ref="M7:M17" si="17">L7*0.2</f>
        <v>0</v>
      </c>
      <c r="N7" s="9">
        <v>0</v>
      </c>
      <c r="O7" s="9">
        <f t="shared" ref="O7:O17" si="18">N7/1.2</f>
        <v>0</v>
      </c>
      <c r="P7" s="9">
        <f t="shared" ref="P7:P17" si="19">O7*0.2</f>
        <v>0</v>
      </c>
      <c r="Q7" s="11">
        <v>3000</v>
      </c>
      <c r="R7" s="11">
        <f>12200</f>
        <v>12200</v>
      </c>
      <c r="S7" s="9">
        <v>0</v>
      </c>
      <c r="T7" s="9">
        <v>0</v>
      </c>
      <c r="U7" s="17">
        <v>15000</v>
      </c>
      <c r="V7" s="3"/>
    </row>
    <row r="8" spans="1:22" x14ac:dyDescent="0.3">
      <c r="A8" s="8">
        <v>45722</v>
      </c>
      <c r="B8" s="11">
        <f>13500+45000</f>
        <v>58500</v>
      </c>
      <c r="C8" s="9">
        <f t="shared" si="10"/>
        <v>53181.818181818177</v>
      </c>
      <c r="D8" s="9">
        <f t="shared" si="11"/>
        <v>5318.181818181818</v>
      </c>
      <c r="E8" s="9">
        <v>0</v>
      </c>
      <c r="F8" s="9">
        <f t="shared" si="12"/>
        <v>0</v>
      </c>
      <c r="G8" s="9">
        <f t="shared" si="13"/>
        <v>0</v>
      </c>
      <c r="H8" s="11">
        <f>220+965</f>
        <v>1185</v>
      </c>
      <c r="I8" s="9">
        <f t="shared" si="14"/>
        <v>1077.2727272727273</v>
      </c>
      <c r="J8" s="9">
        <f t="shared" si="15"/>
        <v>107.72727272727273</v>
      </c>
      <c r="K8" s="9">
        <v>0</v>
      </c>
      <c r="L8" s="9">
        <f t="shared" si="16"/>
        <v>0</v>
      </c>
      <c r="M8" s="9">
        <f t="shared" si="17"/>
        <v>0</v>
      </c>
      <c r="N8" s="11">
        <v>500</v>
      </c>
      <c r="O8" s="9">
        <f t="shared" si="18"/>
        <v>416.66666666666669</v>
      </c>
      <c r="P8" s="9">
        <f t="shared" si="19"/>
        <v>83.333333333333343</v>
      </c>
      <c r="Q8" s="11">
        <v>6115</v>
      </c>
      <c r="R8" s="11">
        <f>14220+39850</f>
        <v>54070</v>
      </c>
      <c r="S8" s="9">
        <v>0</v>
      </c>
      <c r="T8" s="9">
        <v>0</v>
      </c>
      <c r="U8" s="17">
        <v>11500</v>
      </c>
      <c r="V8" s="3"/>
    </row>
    <row r="9" spans="1:22" x14ac:dyDescent="0.3">
      <c r="A9" s="8">
        <v>45723</v>
      </c>
      <c r="B9" s="11">
        <f>27900+26400</f>
        <v>54300</v>
      </c>
      <c r="C9" s="9">
        <f t="shared" si="10"/>
        <v>49363.63636363636</v>
      </c>
      <c r="D9" s="9">
        <f t="shared" si="11"/>
        <v>4936.363636363636</v>
      </c>
      <c r="E9" s="9">
        <v>0</v>
      </c>
      <c r="F9" s="9">
        <f t="shared" si="12"/>
        <v>0</v>
      </c>
      <c r="G9" s="9">
        <f t="shared" si="13"/>
        <v>0</v>
      </c>
      <c r="H9" s="11">
        <v>1085</v>
      </c>
      <c r="I9" s="9">
        <f t="shared" si="14"/>
        <v>986.36363636363626</v>
      </c>
      <c r="J9" s="9">
        <f t="shared" si="15"/>
        <v>98.636363636363626</v>
      </c>
      <c r="K9" s="9">
        <v>0</v>
      </c>
      <c r="L9" s="9">
        <f t="shared" si="16"/>
        <v>0</v>
      </c>
      <c r="M9" s="9">
        <f t="shared" si="17"/>
        <v>0</v>
      </c>
      <c r="N9" s="11">
        <v>1200</v>
      </c>
      <c r="O9" s="9">
        <f t="shared" si="18"/>
        <v>1000</v>
      </c>
      <c r="P9" s="9">
        <f t="shared" si="19"/>
        <v>200</v>
      </c>
      <c r="Q9" s="11">
        <f>3000+6000</f>
        <v>9000</v>
      </c>
      <c r="R9" s="11">
        <f>27185+20400</f>
        <v>47585</v>
      </c>
      <c r="S9" s="9">
        <v>0</v>
      </c>
      <c r="T9" s="9">
        <v>0</v>
      </c>
      <c r="U9" s="17">
        <v>22050</v>
      </c>
      <c r="V9" s="3"/>
    </row>
    <row r="10" spans="1:22" x14ac:dyDescent="0.3">
      <c r="A10" s="8">
        <v>45724</v>
      </c>
      <c r="B10" s="11">
        <f>83250+15000</f>
        <v>98250</v>
      </c>
      <c r="C10" s="9">
        <f t="shared" si="10"/>
        <v>89318.181818181809</v>
      </c>
      <c r="D10" s="9">
        <f t="shared" si="11"/>
        <v>8931.818181818182</v>
      </c>
      <c r="E10" s="9">
        <v>0</v>
      </c>
      <c r="F10" s="9">
        <f t="shared" si="12"/>
        <v>0</v>
      </c>
      <c r="G10" s="9">
        <f t="shared" si="13"/>
        <v>0</v>
      </c>
      <c r="H10" s="11">
        <f>595+335</f>
        <v>930</v>
      </c>
      <c r="I10" s="9">
        <f t="shared" si="14"/>
        <v>845.45454545454538</v>
      </c>
      <c r="J10" s="9">
        <f t="shared" si="15"/>
        <v>84.545454545454547</v>
      </c>
      <c r="K10" s="9">
        <v>0</v>
      </c>
      <c r="L10" s="9">
        <f t="shared" si="16"/>
        <v>0</v>
      </c>
      <c r="M10" s="9">
        <f t="shared" si="17"/>
        <v>0</v>
      </c>
      <c r="N10" s="11">
        <v>300</v>
      </c>
      <c r="O10" s="9">
        <f t="shared" si="18"/>
        <v>250</v>
      </c>
      <c r="P10" s="9">
        <f t="shared" si="19"/>
        <v>50</v>
      </c>
      <c r="Q10" s="11">
        <f>10500+135</f>
        <v>10635</v>
      </c>
      <c r="R10" s="11">
        <f>73645+15200</f>
        <v>88845</v>
      </c>
      <c r="S10" s="9">
        <v>0</v>
      </c>
      <c r="T10" s="9">
        <v>0</v>
      </c>
      <c r="U10" s="14">
        <v>0</v>
      </c>
      <c r="V10" s="3"/>
    </row>
    <row r="11" spans="1:22" ht="13.95" customHeight="1" x14ac:dyDescent="0.3">
      <c r="A11" s="8">
        <v>45725</v>
      </c>
      <c r="B11" s="11">
        <v>50400</v>
      </c>
      <c r="C11" s="9">
        <f t="shared" si="10"/>
        <v>45818.181818181816</v>
      </c>
      <c r="D11" s="9">
        <f t="shared" si="11"/>
        <v>4581.818181818182</v>
      </c>
      <c r="E11" s="9">
        <v>0</v>
      </c>
      <c r="F11" s="9">
        <f t="shared" si="12"/>
        <v>0</v>
      </c>
      <c r="G11" s="9">
        <f t="shared" si="13"/>
        <v>0</v>
      </c>
      <c r="H11" s="11">
        <v>315</v>
      </c>
      <c r="I11" s="9">
        <f t="shared" si="14"/>
        <v>286.36363636363632</v>
      </c>
      <c r="J11" s="9">
        <f t="shared" si="15"/>
        <v>28.636363636363633</v>
      </c>
      <c r="K11" s="9">
        <v>0</v>
      </c>
      <c r="L11" s="9">
        <f t="shared" si="16"/>
        <v>0</v>
      </c>
      <c r="M11" s="9">
        <f t="shared" si="17"/>
        <v>0</v>
      </c>
      <c r="N11" s="11">
        <v>1000</v>
      </c>
      <c r="O11" s="9">
        <f t="shared" si="18"/>
        <v>833.33333333333337</v>
      </c>
      <c r="P11" s="9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9">
        <v>0</v>
      </c>
      <c r="U11" s="17">
        <f>21850+21710</f>
        <v>43560</v>
      </c>
      <c r="V11" s="3"/>
    </row>
    <row r="12" spans="1:22" x14ac:dyDescent="0.3">
      <c r="A12" s="8">
        <v>45726</v>
      </c>
      <c r="B12" s="11">
        <f>13500+6000</f>
        <v>19500</v>
      </c>
      <c r="C12" s="9">
        <f t="shared" si="10"/>
        <v>17727.272727272724</v>
      </c>
      <c r="D12" s="9">
        <f t="shared" si="11"/>
        <v>1772.7272727272725</v>
      </c>
      <c r="E12" s="9">
        <v>0</v>
      </c>
      <c r="F12" s="9">
        <f t="shared" si="12"/>
        <v>0</v>
      </c>
      <c r="G12" s="9">
        <f t="shared" si="13"/>
        <v>0</v>
      </c>
      <c r="H12" s="11">
        <f>315+115</f>
        <v>430</v>
      </c>
      <c r="I12" s="9">
        <f t="shared" si="14"/>
        <v>390.90909090909088</v>
      </c>
      <c r="J12" s="9">
        <f t="shared" si="15"/>
        <v>39.090909090909093</v>
      </c>
      <c r="K12" s="9">
        <v>0</v>
      </c>
      <c r="L12" s="9">
        <f t="shared" si="16"/>
        <v>0</v>
      </c>
      <c r="M12" s="9">
        <f t="shared" si="17"/>
        <v>0</v>
      </c>
      <c r="N12" s="11">
        <f>300+600</f>
        <v>900</v>
      </c>
      <c r="O12" s="9">
        <f t="shared" si="18"/>
        <v>750</v>
      </c>
      <c r="P12" s="9">
        <f t="shared" si="19"/>
        <v>150</v>
      </c>
      <c r="Q12" s="9">
        <v>0</v>
      </c>
      <c r="R12" s="11">
        <f>14115+6715</f>
        <v>20830</v>
      </c>
      <c r="S12" s="9">
        <v>0</v>
      </c>
      <c r="T12" s="9">
        <v>0</v>
      </c>
      <c r="U12" s="17">
        <v>8000</v>
      </c>
      <c r="V12" s="3"/>
    </row>
    <row r="13" spans="1:22" x14ac:dyDescent="0.3">
      <c r="A13" s="8">
        <v>45727</v>
      </c>
      <c r="B13" s="11">
        <f>22500+12000</f>
        <v>34500</v>
      </c>
      <c r="C13" s="9">
        <f t="shared" si="10"/>
        <v>31363.63636363636</v>
      </c>
      <c r="D13" s="9">
        <f t="shared" si="11"/>
        <v>3136.363636363636</v>
      </c>
      <c r="E13" s="9">
        <v>0</v>
      </c>
      <c r="F13" s="9">
        <f t="shared" si="12"/>
        <v>0</v>
      </c>
      <c r="G13" s="9">
        <f t="shared" si="13"/>
        <v>0</v>
      </c>
      <c r="H13" s="11">
        <f>720+200</f>
        <v>920</v>
      </c>
      <c r="I13" s="9">
        <f t="shared" si="14"/>
        <v>836.36363636363626</v>
      </c>
      <c r="J13" s="9">
        <f t="shared" si="15"/>
        <v>83.636363636363626</v>
      </c>
      <c r="K13" s="9">
        <v>0</v>
      </c>
      <c r="L13" s="9">
        <f t="shared" si="16"/>
        <v>0</v>
      </c>
      <c r="M13" s="9">
        <f t="shared" si="17"/>
        <v>0</v>
      </c>
      <c r="N13" s="11">
        <v>600</v>
      </c>
      <c r="O13" s="9">
        <f t="shared" si="18"/>
        <v>500</v>
      </c>
      <c r="P13" s="9">
        <f t="shared" si="19"/>
        <v>100</v>
      </c>
      <c r="Q13" s="9">
        <v>0</v>
      </c>
      <c r="R13" s="11">
        <f>23820+12200</f>
        <v>36020</v>
      </c>
      <c r="S13" s="9">
        <v>0</v>
      </c>
      <c r="T13" s="9">
        <v>0</v>
      </c>
      <c r="U13" s="17">
        <v>25800</v>
      </c>
      <c r="V13" s="3"/>
    </row>
    <row r="14" spans="1:22" x14ac:dyDescent="0.3">
      <c r="A14" s="8">
        <v>45728</v>
      </c>
      <c r="B14" s="11">
        <f>36900+21350</f>
        <v>58250</v>
      </c>
      <c r="C14" s="9">
        <f t="shared" si="10"/>
        <v>52954.545454545449</v>
      </c>
      <c r="D14" s="9">
        <f t="shared" si="11"/>
        <v>5295.454545454545</v>
      </c>
      <c r="E14" s="9">
        <v>0</v>
      </c>
      <c r="F14" s="9">
        <f t="shared" si="12"/>
        <v>0</v>
      </c>
      <c r="G14" s="9">
        <f t="shared" si="13"/>
        <v>0</v>
      </c>
      <c r="H14" s="11">
        <f>685+200</f>
        <v>885</v>
      </c>
      <c r="I14" s="9">
        <f t="shared" si="14"/>
        <v>804.5454545454545</v>
      </c>
      <c r="J14" s="9">
        <f t="shared" si="15"/>
        <v>80.454545454545453</v>
      </c>
      <c r="K14" s="9">
        <v>0</v>
      </c>
      <c r="L14" s="9">
        <f t="shared" si="16"/>
        <v>0</v>
      </c>
      <c r="M14" s="9">
        <f t="shared" si="17"/>
        <v>0</v>
      </c>
      <c r="N14" s="11">
        <f>1350+450</f>
        <v>1800</v>
      </c>
      <c r="O14" s="9">
        <f t="shared" si="18"/>
        <v>1500</v>
      </c>
      <c r="P14" s="9">
        <f t="shared" si="19"/>
        <v>300</v>
      </c>
      <c r="Q14" s="11">
        <v>3000</v>
      </c>
      <c r="R14" s="11">
        <f>38935+19000</f>
        <v>57935</v>
      </c>
      <c r="S14" s="9">
        <v>0</v>
      </c>
      <c r="T14" s="9">
        <v>0</v>
      </c>
      <c r="U14" s="17">
        <f>10700+24785+14850</f>
        <v>50335</v>
      </c>
      <c r="V14" s="3"/>
    </row>
    <row r="15" spans="1:22" x14ac:dyDescent="0.3">
      <c r="A15" s="8">
        <v>45729</v>
      </c>
      <c r="B15" s="11">
        <f>15000+13500</f>
        <v>28500</v>
      </c>
      <c r="C15" s="9">
        <f t="shared" si="10"/>
        <v>25909.090909090908</v>
      </c>
      <c r="D15" s="9">
        <f t="shared" si="11"/>
        <v>2590.909090909091</v>
      </c>
      <c r="E15" s="9">
        <v>0</v>
      </c>
      <c r="F15" s="9">
        <f t="shared" si="12"/>
        <v>0</v>
      </c>
      <c r="G15" s="9">
        <f t="shared" si="13"/>
        <v>0</v>
      </c>
      <c r="H15" s="11">
        <v>705</v>
      </c>
      <c r="I15" s="9">
        <f t="shared" si="14"/>
        <v>640.90909090909088</v>
      </c>
      <c r="J15" s="9">
        <f t="shared" si="15"/>
        <v>64.090909090909093</v>
      </c>
      <c r="K15" s="9">
        <v>0</v>
      </c>
      <c r="L15" s="9">
        <f t="shared" si="16"/>
        <v>0</v>
      </c>
      <c r="M15" s="9">
        <f t="shared" si="17"/>
        <v>0</v>
      </c>
      <c r="N15" s="9">
        <v>0</v>
      </c>
      <c r="O15" s="9">
        <f t="shared" si="18"/>
        <v>0</v>
      </c>
      <c r="P15" s="9">
        <f t="shared" si="19"/>
        <v>0</v>
      </c>
      <c r="Q15" s="9">
        <v>0</v>
      </c>
      <c r="R15" s="11">
        <f>14205+15000</f>
        <v>29205</v>
      </c>
      <c r="S15" s="9">
        <v>0</v>
      </c>
      <c r="T15" s="9">
        <v>0</v>
      </c>
      <c r="U15" s="17">
        <v>10350</v>
      </c>
      <c r="V15" s="3"/>
    </row>
    <row r="16" spans="1:22" x14ac:dyDescent="0.3">
      <c r="A16" s="8">
        <v>45730</v>
      </c>
      <c r="B16" s="11">
        <f>31500+23250</f>
        <v>54750</v>
      </c>
      <c r="C16" s="9">
        <f t="shared" si="10"/>
        <v>49772.727272727272</v>
      </c>
      <c r="D16" s="9">
        <f t="shared" si="11"/>
        <v>4977.2727272727279</v>
      </c>
      <c r="E16" s="9">
        <v>0</v>
      </c>
      <c r="F16" s="9">
        <f t="shared" si="12"/>
        <v>0</v>
      </c>
      <c r="G16" s="9">
        <f t="shared" si="13"/>
        <v>0</v>
      </c>
      <c r="H16" s="11">
        <f>1370+725</f>
        <v>2095</v>
      </c>
      <c r="I16" s="9">
        <f t="shared" si="14"/>
        <v>1904.5454545454545</v>
      </c>
      <c r="J16" s="9">
        <f t="shared" si="15"/>
        <v>190.45454545454547</v>
      </c>
      <c r="K16" s="9">
        <v>0</v>
      </c>
      <c r="L16" s="9">
        <f t="shared" si="16"/>
        <v>0</v>
      </c>
      <c r="M16" s="9">
        <f t="shared" si="17"/>
        <v>0</v>
      </c>
      <c r="N16" s="11">
        <f>450+750</f>
        <v>1200</v>
      </c>
      <c r="O16" s="9">
        <f t="shared" si="18"/>
        <v>1000</v>
      </c>
      <c r="P16" s="9">
        <f t="shared" si="19"/>
        <v>200</v>
      </c>
      <c r="Q16" s="9">
        <v>0</v>
      </c>
      <c r="R16" s="11">
        <f>28370+24725</f>
        <v>53095</v>
      </c>
      <c r="S16" s="11">
        <v>4950</v>
      </c>
      <c r="T16" s="9">
        <v>0</v>
      </c>
      <c r="U16" s="14">
        <v>0</v>
      </c>
      <c r="V16" s="3"/>
    </row>
    <row r="17" spans="1:22" x14ac:dyDescent="0.3">
      <c r="A17" s="8">
        <v>45731</v>
      </c>
      <c r="B17" s="11">
        <f>61700+33450</f>
        <v>95150</v>
      </c>
      <c r="C17" s="9">
        <f t="shared" si="10"/>
        <v>86500</v>
      </c>
      <c r="D17" s="9">
        <f t="shared" si="11"/>
        <v>8650</v>
      </c>
      <c r="E17" s="9">
        <v>0</v>
      </c>
      <c r="F17" s="9">
        <f t="shared" si="12"/>
        <v>0</v>
      </c>
      <c r="G17" s="9">
        <f t="shared" si="13"/>
        <v>0</v>
      </c>
      <c r="H17" s="11">
        <f>1135+1080</f>
        <v>2215</v>
      </c>
      <c r="I17" s="9">
        <f t="shared" si="14"/>
        <v>2013.6363636363635</v>
      </c>
      <c r="J17" s="9">
        <f t="shared" si="15"/>
        <v>201.36363636363637</v>
      </c>
      <c r="K17" s="9">
        <v>0</v>
      </c>
      <c r="L17" s="9">
        <f t="shared" si="16"/>
        <v>0</v>
      </c>
      <c r="M17" s="9">
        <f t="shared" si="17"/>
        <v>0</v>
      </c>
      <c r="N17" s="11">
        <v>300</v>
      </c>
      <c r="O17" s="9">
        <f t="shared" si="18"/>
        <v>250</v>
      </c>
      <c r="P17" s="9">
        <f t="shared" si="19"/>
        <v>50</v>
      </c>
      <c r="Q17" s="11">
        <f>3000+4700</f>
        <v>7700</v>
      </c>
      <c r="R17" s="11">
        <f>60135+29830</f>
        <v>89965</v>
      </c>
      <c r="S17" s="9">
        <v>0</v>
      </c>
      <c r="T17" s="9">
        <v>0</v>
      </c>
      <c r="U17" s="17">
        <f>11550+16500</f>
        <v>28050</v>
      </c>
      <c r="V17" s="3"/>
    </row>
    <row r="18" spans="1:22" x14ac:dyDescent="0.3">
      <c r="A18" s="8">
        <v>45732</v>
      </c>
      <c r="B18" s="11">
        <f>37000+54450</f>
        <v>91450</v>
      </c>
      <c r="C18" s="9">
        <f t="shared" si="0"/>
        <v>83136.363636363632</v>
      </c>
      <c r="D18" s="9">
        <f t="shared" si="1"/>
        <v>8313.636363636364</v>
      </c>
      <c r="E18" s="9">
        <v>0</v>
      </c>
      <c r="F18" s="9">
        <f t="shared" si="2"/>
        <v>0</v>
      </c>
      <c r="G18" s="9">
        <f t="shared" si="3"/>
        <v>0</v>
      </c>
      <c r="H18" s="11">
        <f>405+1275</f>
        <v>1680</v>
      </c>
      <c r="I18" s="9">
        <f t="shared" si="4"/>
        <v>1527.2727272727273</v>
      </c>
      <c r="J18" s="9">
        <f t="shared" si="5"/>
        <v>152.72727272727272</v>
      </c>
      <c r="K18" s="9">
        <v>0</v>
      </c>
      <c r="L18" s="9">
        <f t="shared" si="6"/>
        <v>0</v>
      </c>
      <c r="M18" s="9">
        <f t="shared" si="7"/>
        <v>0</v>
      </c>
      <c r="N18" s="11">
        <v>600</v>
      </c>
      <c r="O18" s="9">
        <f t="shared" si="8"/>
        <v>500</v>
      </c>
      <c r="P18" s="9">
        <f t="shared" si="9"/>
        <v>100</v>
      </c>
      <c r="Q18" s="11">
        <f>3400</f>
        <v>3400</v>
      </c>
      <c r="R18" s="11">
        <f>34005+56325</f>
        <v>90330</v>
      </c>
      <c r="S18" s="9">
        <v>0</v>
      </c>
      <c r="T18" s="9">
        <v>0</v>
      </c>
      <c r="U18" s="14">
        <v>0</v>
      </c>
      <c r="V18" s="15"/>
    </row>
    <row r="19" spans="1:22" x14ac:dyDescent="0.3">
      <c r="A19" s="8">
        <v>45733</v>
      </c>
      <c r="B19" s="11">
        <f>30900+30000</f>
        <v>60900</v>
      </c>
      <c r="C19" s="9">
        <f t="shared" si="0"/>
        <v>55363.63636363636</v>
      </c>
      <c r="D19" s="9">
        <f t="shared" si="1"/>
        <v>5536.363636363636</v>
      </c>
      <c r="E19" s="9">
        <v>0</v>
      </c>
      <c r="F19" s="9">
        <f t="shared" si="2"/>
        <v>0</v>
      </c>
      <c r="G19" s="9">
        <f t="shared" si="3"/>
        <v>0</v>
      </c>
      <c r="H19" s="11">
        <f>985</f>
        <v>985</v>
      </c>
      <c r="I19" s="9">
        <f t="shared" si="4"/>
        <v>895.45454545454538</v>
      </c>
      <c r="J19" s="9">
        <f t="shared" si="5"/>
        <v>89.545454545454547</v>
      </c>
      <c r="K19" s="9">
        <v>0</v>
      </c>
      <c r="L19" s="9">
        <f t="shared" si="6"/>
        <v>0</v>
      </c>
      <c r="M19" s="9">
        <f t="shared" si="7"/>
        <v>0</v>
      </c>
      <c r="N19" s="11">
        <v>300</v>
      </c>
      <c r="O19" s="9">
        <f t="shared" si="8"/>
        <v>250</v>
      </c>
      <c r="P19" s="9">
        <f t="shared" si="9"/>
        <v>50</v>
      </c>
      <c r="Q19" s="9">
        <v>0</v>
      </c>
      <c r="R19" s="11">
        <f>30900+31285</f>
        <v>62185</v>
      </c>
      <c r="S19" s="9">
        <v>0</v>
      </c>
      <c r="T19" s="9">
        <v>0</v>
      </c>
      <c r="U19" s="17">
        <v>8290</v>
      </c>
      <c r="V19" s="3"/>
    </row>
    <row r="20" spans="1:22" x14ac:dyDescent="0.3">
      <c r="A20" s="8">
        <v>45734</v>
      </c>
      <c r="B20" s="11">
        <f>13500+30600</f>
        <v>44100</v>
      </c>
      <c r="C20" s="9">
        <f t="shared" si="0"/>
        <v>40090.909090909088</v>
      </c>
      <c r="D20" s="9">
        <f t="shared" si="1"/>
        <v>4009.090909090909</v>
      </c>
      <c r="E20" s="9">
        <v>0</v>
      </c>
      <c r="F20" s="9">
        <f t="shared" si="2"/>
        <v>0</v>
      </c>
      <c r="G20" s="9">
        <f t="shared" si="3"/>
        <v>0</v>
      </c>
      <c r="H20" s="11">
        <v>600</v>
      </c>
      <c r="I20" s="9">
        <f t="shared" si="4"/>
        <v>545.45454545454538</v>
      </c>
      <c r="J20" s="9">
        <f t="shared" si="5"/>
        <v>54.54545454545454</v>
      </c>
      <c r="K20" s="9">
        <v>0</v>
      </c>
      <c r="L20" s="9">
        <f t="shared" si="6"/>
        <v>0</v>
      </c>
      <c r="M20" s="9">
        <f t="shared" si="7"/>
        <v>0</v>
      </c>
      <c r="N20" s="9">
        <v>0</v>
      </c>
      <c r="O20" s="9">
        <f t="shared" si="8"/>
        <v>0</v>
      </c>
      <c r="P20" s="9">
        <f t="shared" si="9"/>
        <v>0</v>
      </c>
      <c r="Q20" s="9">
        <v>0</v>
      </c>
      <c r="R20" s="16">
        <f>13500+31200</f>
        <v>44700</v>
      </c>
      <c r="S20" s="20">
        <v>0</v>
      </c>
      <c r="T20" s="11">
        <v>1500</v>
      </c>
      <c r="U20" s="11">
        <f>10000+7500+13500</f>
        <v>31000</v>
      </c>
      <c r="V20" s="3"/>
    </row>
    <row r="21" spans="1:22" x14ac:dyDescent="0.3">
      <c r="A21" s="8">
        <v>45735</v>
      </c>
      <c r="B21" s="11">
        <f>39000+28500</f>
        <v>67500</v>
      </c>
      <c r="C21" s="9">
        <f t="shared" si="0"/>
        <v>61363.63636363636</v>
      </c>
      <c r="D21" s="9">
        <f t="shared" si="1"/>
        <v>6136.363636363636</v>
      </c>
      <c r="E21" s="9">
        <v>0</v>
      </c>
      <c r="F21" s="9">
        <f t="shared" si="2"/>
        <v>0</v>
      </c>
      <c r="G21" s="9">
        <f t="shared" si="3"/>
        <v>0</v>
      </c>
      <c r="H21" s="11">
        <f>705+1465</f>
        <v>2170</v>
      </c>
      <c r="I21" s="9">
        <f t="shared" si="4"/>
        <v>1972.7272727272725</v>
      </c>
      <c r="J21" s="9">
        <f t="shared" si="5"/>
        <v>197.27272727272725</v>
      </c>
      <c r="K21" s="9">
        <v>0</v>
      </c>
      <c r="L21" s="9">
        <f t="shared" si="6"/>
        <v>0</v>
      </c>
      <c r="M21" s="9">
        <f t="shared" si="7"/>
        <v>0</v>
      </c>
      <c r="N21" s="11">
        <v>200</v>
      </c>
      <c r="O21" s="9">
        <f t="shared" si="8"/>
        <v>166.66666666666669</v>
      </c>
      <c r="P21" s="9">
        <f t="shared" si="9"/>
        <v>33.333333333333336</v>
      </c>
      <c r="Q21" s="11">
        <v>3000</v>
      </c>
      <c r="R21" s="11">
        <f>36705+30165</f>
        <v>66870</v>
      </c>
      <c r="S21" s="9">
        <v>0</v>
      </c>
      <c r="T21" s="9">
        <v>0</v>
      </c>
      <c r="U21" s="17">
        <f>6400+37115</f>
        <v>43515</v>
      </c>
      <c r="V21" s="3"/>
    </row>
    <row r="22" spans="1:22" x14ac:dyDescent="0.3">
      <c r="A22" s="8">
        <v>45736</v>
      </c>
      <c r="B22" s="11">
        <f>6000+23250</f>
        <v>29250</v>
      </c>
      <c r="C22" s="9">
        <f t="shared" si="0"/>
        <v>26590.909090909088</v>
      </c>
      <c r="D22" s="9">
        <f t="shared" si="1"/>
        <v>2659.090909090909</v>
      </c>
      <c r="E22" s="9">
        <v>0</v>
      </c>
      <c r="F22" s="9">
        <f t="shared" si="2"/>
        <v>0</v>
      </c>
      <c r="G22" s="9">
        <f t="shared" si="3"/>
        <v>0</v>
      </c>
      <c r="H22" s="11">
        <v>700</v>
      </c>
      <c r="I22" s="9">
        <f t="shared" si="4"/>
        <v>636.36363636363626</v>
      </c>
      <c r="J22" s="9">
        <f t="shared" si="5"/>
        <v>63.636363636363626</v>
      </c>
      <c r="K22" s="9">
        <v>0</v>
      </c>
      <c r="L22" s="9">
        <f t="shared" si="6"/>
        <v>0</v>
      </c>
      <c r="M22" s="9">
        <f t="shared" si="7"/>
        <v>0</v>
      </c>
      <c r="N22" s="11">
        <v>200</v>
      </c>
      <c r="O22" s="9">
        <f t="shared" si="8"/>
        <v>166.66666666666669</v>
      </c>
      <c r="P22" s="9">
        <f t="shared" si="9"/>
        <v>33.333333333333336</v>
      </c>
      <c r="Q22" s="11">
        <v>2750</v>
      </c>
      <c r="R22" s="11">
        <f>6200+21200</f>
        <v>27400</v>
      </c>
      <c r="S22" s="9">
        <v>0</v>
      </c>
      <c r="T22" s="11">
        <v>420</v>
      </c>
      <c r="U22" s="17">
        <v>125325</v>
      </c>
      <c r="V22" s="3"/>
    </row>
    <row r="23" spans="1:22" x14ac:dyDescent="0.3">
      <c r="A23" s="8">
        <v>45737</v>
      </c>
      <c r="B23" s="11">
        <f>24781.91+48450</f>
        <v>73231.91</v>
      </c>
      <c r="C23" s="9">
        <f t="shared" si="0"/>
        <v>66574.463636363638</v>
      </c>
      <c r="D23" s="9">
        <f t="shared" si="1"/>
        <v>6657.4463636363644</v>
      </c>
      <c r="E23" s="9">
        <v>0</v>
      </c>
      <c r="F23" s="9">
        <f t="shared" si="2"/>
        <v>0</v>
      </c>
      <c r="G23" s="9">
        <f t="shared" si="3"/>
        <v>0</v>
      </c>
      <c r="H23" s="11">
        <f>368.09+1035</f>
        <v>1403.09</v>
      </c>
      <c r="I23" s="9">
        <f t="shared" si="4"/>
        <v>1275.5363636363634</v>
      </c>
      <c r="J23" s="9">
        <f t="shared" si="5"/>
        <v>127.55363636363634</v>
      </c>
      <c r="K23" s="9">
        <v>0</v>
      </c>
      <c r="L23" s="9">
        <f t="shared" si="6"/>
        <v>0</v>
      </c>
      <c r="M23" s="9">
        <f t="shared" si="7"/>
        <v>0</v>
      </c>
      <c r="N23" s="11">
        <v>1200</v>
      </c>
      <c r="O23" s="9">
        <f t="shared" si="8"/>
        <v>1000</v>
      </c>
      <c r="P23" s="9">
        <f t="shared" si="9"/>
        <v>200</v>
      </c>
      <c r="Q23" s="11">
        <v>3950</v>
      </c>
      <c r="R23" s="11">
        <f>21200+50685-3200</f>
        <v>68685</v>
      </c>
      <c r="S23" s="11">
        <v>3200</v>
      </c>
      <c r="T23" s="9">
        <v>0</v>
      </c>
      <c r="U23" s="17">
        <v>20385</v>
      </c>
      <c r="V23" s="18"/>
    </row>
    <row r="24" spans="1:22" x14ac:dyDescent="0.3">
      <c r="A24" s="8">
        <v>45738</v>
      </c>
      <c r="B24" s="11">
        <f>58500+3000</f>
        <v>61500</v>
      </c>
      <c r="C24" s="9">
        <f t="shared" si="0"/>
        <v>55909.090909090904</v>
      </c>
      <c r="D24" s="9">
        <f t="shared" si="1"/>
        <v>5590.909090909091</v>
      </c>
      <c r="E24" s="9">
        <v>0</v>
      </c>
      <c r="F24" s="9">
        <f t="shared" si="2"/>
        <v>0</v>
      </c>
      <c r="G24" s="9">
        <f t="shared" si="3"/>
        <v>0</v>
      </c>
      <c r="H24" s="11">
        <v>835</v>
      </c>
      <c r="I24" s="9">
        <f t="shared" si="4"/>
        <v>759.09090909090901</v>
      </c>
      <c r="J24" s="9">
        <f t="shared" si="5"/>
        <v>75.909090909090907</v>
      </c>
      <c r="K24" s="9">
        <v>0</v>
      </c>
      <c r="L24" s="9">
        <f t="shared" si="6"/>
        <v>0</v>
      </c>
      <c r="M24" s="9">
        <f t="shared" si="7"/>
        <v>0</v>
      </c>
      <c r="N24" s="11">
        <v>1700</v>
      </c>
      <c r="O24" s="9">
        <f t="shared" si="8"/>
        <v>1416.6666666666667</v>
      </c>
      <c r="P24" s="9">
        <f t="shared" si="9"/>
        <v>283.33333333333337</v>
      </c>
      <c r="Q24" s="11">
        <v>3000</v>
      </c>
      <c r="R24" s="11">
        <f>58035+3000</f>
        <v>61035</v>
      </c>
      <c r="S24" s="9">
        <v>0</v>
      </c>
      <c r="T24" s="9">
        <v>0</v>
      </c>
      <c r="U24" s="17">
        <f>19085+11725</f>
        <v>30810</v>
      </c>
      <c r="V24" s="18"/>
    </row>
    <row r="25" spans="1:22" x14ac:dyDescent="0.3">
      <c r="A25" s="8">
        <v>45739</v>
      </c>
      <c r="B25" s="11">
        <f>16750+42900</f>
        <v>59650</v>
      </c>
      <c r="C25" s="9">
        <f t="shared" si="0"/>
        <v>54227.272727272721</v>
      </c>
      <c r="D25" s="9">
        <f t="shared" si="1"/>
        <v>5422.7272727272721</v>
      </c>
      <c r="E25" s="9">
        <v>0</v>
      </c>
      <c r="F25" s="9">
        <f t="shared" si="2"/>
        <v>0</v>
      </c>
      <c r="G25" s="9">
        <f t="shared" si="3"/>
        <v>0</v>
      </c>
      <c r="H25" s="11">
        <f>270+85</f>
        <v>355</v>
      </c>
      <c r="I25" s="9">
        <f t="shared" si="4"/>
        <v>322.72727272727269</v>
      </c>
      <c r="J25" s="9">
        <f t="shared" si="5"/>
        <v>32.272727272727273</v>
      </c>
      <c r="K25" s="9">
        <v>0</v>
      </c>
      <c r="L25" s="9">
        <f t="shared" si="6"/>
        <v>0</v>
      </c>
      <c r="M25" s="9">
        <f t="shared" si="7"/>
        <v>0</v>
      </c>
      <c r="N25" s="9">
        <v>0</v>
      </c>
      <c r="O25" s="9">
        <f t="shared" si="8"/>
        <v>0</v>
      </c>
      <c r="P25" s="9">
        <f t="shared" si="9"/>
        <v>0</v>
      </c>
      <c r="Q25" s="11">
        <v>3000</v>
      </c>
      <c r="R25" s="11">
        <f>13835+43170</f>
        <v>57005</v>
      </c>
      <c r="S25" s="9">
        <v>0</v>
      </c>
      <c r="T25" s="9">
        <v>0</v>
      </c>
      <c r="U25" s="17">
        <f>8250+11400</f>
        <v>19650</v>
      </c>
      <c r="V25" s="3"/>
    </row>
    <row r="26" spans="1:22" x14ac:dyDescent="0.3">
      <c r="A26" s="8">
        <v>45740</v>
      </c>
      <c r="B26" s="11">
        <f>7500+8000</f>
        <v>15500</v>
      </c>
      <c r="C26" s="9">
        <f t="shared" si="0"/>
        <v>14090.90909090909</v>
      </c>
      <c r="D26" s="9">
        <f t="shared" si="1"/>
        <v>1409.090909090909</v>
      </c>
      <c r="E26" s="9">
        <v>0</v>
      </c>
      <c r="F26" s="9">
        <f t="shared" si="2"/>
        <v>0</v>
      </c>
      <c r="G26" s="9">
        <f t="shared" si="3"/>
        <v>0</v>
      </c>
      <c r="H26" s="11">
        <v>270</v>
      </c>
      <c r="I26" s="9">
        <f t="shared" si="4"/>
        <v>245.45454545454544</v>
      </c>
      <c r="J26" s="9">
        <f t="shared" si="5"/>
        <v>24.545454545454547</v>
      </c>
      <c r="K26" s="9">
        <v>0</v>
      </c>
      <c r="L26" s="9">
        <f t="shared" si="6"/>
        <v>0</v>
      </c>
      <c r="M26" s="9">
        <f t="shared" si="7"/>
        <v>0</v>
      </c>
      <c r="N26" s="9">
        <v>0</v>
      </c>
      <c r="O26" s="9">
        <f t="shared" si="8"/>
        <v>0</v>
      </c>
      <c r="P26" s="9">
        <f t="shared" si="9"/>
        <v>0</v>
      </c>
      <c r="Q26" s="11">
        <v>2000</v>
      </c>
      <c r="R26" s="11">
        <f>7500+6270</f>
        <v>13770</v>
      </c>
      <c r="S26" s="9">
        <v>0</v>
      </c>
      <c r="T26" s="9">
        <v>0</v>
      </c>
      <c r="U26" s="17">
        <v>11250</v>
      </c>
      <c r="V26" s="3"/>
    </row>
    <row r="27" spans="1:22" x14ac:dyDescent="0.3">
      <c r="A27" s="8">
        <v>45741</v>
      </c>
      <c r="B27" s="11">
        <f>12900+22500</f>
        <v>35400</v>
      </c>
      <c r="C27" s="9">
        <f t="shared" si="0"/>
        <v>32181.81818181818</v>
      </c>
      <c r="D27" s="9">
        <f t="shared" si="1"/>
        <v>3218.181818181818</v>
      </c>
      <c r="E27" s="9">
        <v>0</v>
      </c>
      <c r="F27" s="9">
        <f t="shared" si="2"/>
        <v>0</v>
      </c>
      <c r="G27" s="9">
        <f t="shared" si="3"/>
        <v>0</v>
      </c>
      <c r="H27" s="11">
        <f>135</f>
        <v>135</v>
      </c>
      <c r="I27" s="9">
        <f t="shared" si="4"/>
        <v>122.72727272727272</v>
      </c>
      <c r="J27" s="9">
        <f t="shared" si="5"/>
        <v>12.272727272727273</v>
      </c>
      <c r="K27" s="9">
        <v>0</v>
      </c>
      <c r="L27" s="9">
        <f t="shared" si="6"/>
        <v>0</v>
      </c>
      <c r="M27" s="9">
        <f t="shared" si="7"/>
        <v>0</v>
      </c>
      <c r="N27" s="9">
        <v>0</v>
      </c>
      <c r="O27" s="9">
        <f t="shared" si="8"/>
        <v>0</v>
      </c>
      <c r="P27" s="9">
        <f t="shared" si="9"/>
        <v>0</v>
      </c>
      <c r="Q27" s="11">
        <f>3135+3200</f>
        <v>6335</v>
      </c>
      <c r="R27" s="11">
        <f>9900+19300</f>
        <v>29200</v>
      </c>
      <c r="S27" s="9">
        <v>0</v>
      </c>
      <c r="T27" s="9">
        <v>0</v>
      </c>
      <c r="U27" s="17">
        <v>23185</v>
      </c>
      <c r="V27" s="3"/>
    </row>
    <row r="28" spans="1:22" x14ac:dyDescent="0.3">
      <c r="A28" s="8">
        <v>45742</v>
      </c>
      <c r="B28" s="11">
        <f>24389.47+16950</f>
        <v>41339.47</v>
      </c>
      <c r="C28" s="9">
        <f t="shared" si="0"/>
        <v>37581.336363636365</v>
      </c>
      <c r="D28" s="9">
        <f t="shared" si="1"/>
        <v>3758.1336363636365</v>
      </c>
      <c r="E28" s="9">
        <v>0</v>
      </c>
      <c r="F28" s="9">
        <f t="shared" si="2"/>
        <v>0</v>
      </c>
      <c r="G28" s="9">
        <f t="shared" si="3"/>
        <v>0</v>
      </c>
      <c r="H28" s="11">
        <f>845+340</f>
        <v>1185</v>
      </c>
      <c r="I28" s="9">
        <f t="shared" si="4"/>
        <v>1077.2727272727273</v>
      </c>
      <c r="J28" s="9">
        <f t="shared" si="5"/>
        <v>107.72727272727273</v>
      </c>
      <c r="K28" s="9">
        <v>0</v>
      </c>
      <c r="L28" s="9">
        <f t="shared" si="6"/>
        <v>0</v>
      </c>
      <c r="M28" s="9">
        <f t="shared" si="7"/>
        <v>0</v>
      </c>
      <c r="N28" s="11">
        <v>990.53</v>
      </c>
      <c r="O28" s="9">
        <f t="shared" si="8"/>
        <v>825.44166666666672</v>
      </c>
      <c r="P28" s="9">
        <f t="shared" si="9"/>
        <v>165.08833333333337</v>
      </c>
      <c r="Q28" s="9">
        <v>0</v>
      </c>
      <c r="R28" s="11">
        <f>26225+17290</f>
        <v>43515</v>
      </c>
      <c r="S28" s="9">
        <v>0</v>
      </c>
      <c r="T28" s="11">
        <v>1600</v>
      </c>
      <c r="U28" s="17">
        <f>69800+7500</f>
        <v>77300</v>
      </c>
      <c r="V28" s="3"/>
    </row>
    <row r="29" spans="1:22" x14ac:dyDescent="0.3">
      <c r="A29" s="8">
        <v>45743</v>
      </c>
      <c r="B29" s="11">
        <f>22500+33000</f>
        <v>55500</v>
      </c>
      <c r="C29" s="9">
        <f t="shared" si="0"/>
        <v>50454.545454545449</v>
      </c>
      <c r="D29" s="9">
        <f t="shared" si="1"/>
        <v>5045.454545454545</v>
      </c>
      <c r="E29" s="9">
        <v>0</v>
      </c>
      <c r="F29" s="9">
        <f t="shared" si="2"/>
        <v>0</v>
      </c>
      <c r="G29" s="9">
        <f t="shared" si="3"/>
        <v>0</v>
      </c>
      <c r="H29" s="11">
        <f>200+900</f>
        <v>1100</v>
      </c>
      <c r="I29" s="9">
        <f t="shared" si="4"/>
        <v>999.99999999999989</v>
      </c>
      <c r="J29" s="9">
        <f t="shared" si="5"/>
        <v>100</v>
      </c>
      <c r="K29" s="9">
        <v>0</v>
      </c>
      <c r="L29" s="9">
        <f t="shared" si="6"/>
        <v>0</v>
      </c>
      <c r="M29" s="9">
        <f t="shared" si="7"/>
        <v>0</v>
      </c>
      <c r="N29" s="11">
        <f>200+1650</f>
        <v>1850</v>
      </c>
      <c r="O29" s="9">
        <f t="shared" si="8"/>
        <v>1541.6666666666667</v>
      </c>
      <c r="P29" s="9">
        <f t="shared" si="9"/>
        <v>308.33333333333337</v>
      </c>
      <c r="Q29" s="11">
        <f>3000</f>
        <v>3000</v>
      </c>
      <c r="R29" s="11">
        <f>19900+35550</f>
        <v>55450</v>
      </c>
      <c r="S29" s="9">
        <v>0</v>
      </c>
      <c r="T29" s="11">
        <v>3205</v>
      </c>
      <c r="U29" s="17">
        <v>42140</v>
      </c>
      <c r="V29" s="3"/>
    </row>
    <row r="30" spans="1:22" x14ac:dyDescent="0.3">
      <c r="A30" s="8">
        <v>45744</v>
      </c>
      <c r="B30" s="11">
        <f>12000+34500</f>
        <v>46500</v>
      </c>
      <c r="C30" s="9">
        <f t="shared" si="0"/>
        <v>42272.727272727272</v>
      </c>
      <c r="D30" s="9">
        <f t="shared" si="1"/>
        <v>4227.272727272727</v>
      </c>
      <c r="E30" s="9">
        <v>0</v>
      </c>
      <c r="F30" s="9">
        <f t="shared" si="2"/>
        <v>0</v>
      </c>
      <c r="G30" s="9">
        <f t="shared" si="3"/>
        <v>0</v>
      </c>
      <c r="H30" s="11">
        <v>200</v>
      </c>
      <c r="I30" s="9">
        <f t="shared" si="4"/>
        <v>181.81818181818181</v>
      </c>
      <c r="J30" s="9">
        <f t="shared" si="5"/>
        <v>18.181818181818183</v>
      </c>
      <c r="K30" s="9">
        <v>0</v>
      </c>
      <c r="L30" s="9">
        <f t="shared" si="6"/>
        <v>0</v>
      </c>
      <c r="M30" s="9">
        <f t="shared" si="7"/>
        <v>0</v>
      </c>
      <c r="N30" s="11">
        <v>300</v>
      </c>
      <c r="O30" s="9">
        <f t="shared" si="8"/>
        <v>250</v>
      </c>
      <c r="P30" s="9">
        <f t="shared" si="9"/>
        <v>50</v>
      </c>
      <c r="Q30" s="9">
        <v>0</v>
      </c>
      <c r="R30" s="11">
        <f>12200+34800-6300</f>
        <v>40700</v>
      </c>
      <c r="S30" s="11">
        <v>6300</v>
      </c>
      <c r="T30" s="9">
        <v>0</v>
      </c>
      <c r="U30" s="17">
        <v>39000</v>
      </c>
      <c r="V30" s="3"/>
    </row>
    <row r="31" spans="1:22" x14ac:dyDescent="0.3">
      <c r="A31" s="8">
        <v>45745</v>
      </c>
      <c r="B31" s="11">
        <f>3000+39750</f>
        <v>42750</v>
      </c>
      <c r="C31" s="9">
        <f t="shared" si="0"/>
        <v>38863.63636363636</v>
      </c>
      <c r="D31" s="9">
        <f t="shared" si="1"/>
        <v>3886.363636363636</v>
      </c>
      <c r="E31" s="9">
        <v>0</v>
      </c>
      <c r="F31" s="9">
        <f t="shared" si="2"/>
        <v>0</v>
      </c>
      <c r="G31" s="9">
        <f t="shared" si="3"/>
        <v>0</v>
      </c>
      <c r="H31" s="11">
        <f>200+335</f>
        <v>535</v>
      </c>
      <c r="I31" s="9">
        <f t="shared" si="4"/>
        <v>486.36363636363632</v>
      </c>
      <c r="J31" s="9">
        <f t="shared" si="5"/>
        <v>48.636363636363633</v>
      </c>
      <c r="K31" s="9">
        <v>0</v>
      </c>
      <c r="L31" s="9">
        <f>K31/1.2</f>
        <v>0</v>
      </c>
      <c r="M31" s="9">
        <f t="shared" si="7"/>
        <v>0</v>
      </c>
      <c r="N31" s="11">
        <v>500</v>
      </c>
      <c r="O31" s="9">
        <f t="shared" si="8"/>
        <v>416.66666666666669</v>
      </c>
      <c r="P31" s="9">
        <f t="shared" si="9"/>
        <v>83.333333333333343</v>
      </c>
      <c r="Q31" s="11">
        <v>4700</v>
      </c>
      <c r="R31" s="11">
        <f>3200+35885</f>
        <v>39085</v>
      </c>
      <c r="S31" s="9">
        <v>0</v>
      </c>
      <c r="T31" s="9">
        <v>0</v>
      </c>
      <c r="U31" s="17">
        <v>12000</v>
      </c>
      <c r="V31" s="3"/>
    </row>
    <row r="32" spans="1:22" x14ac:dyDescent="0.3">
      <c r="B32" s="6">
        <f>SUM(B3:B31)</f>
        <v>1382721.3800000001</v>
      </c>
      <c r="C32" s="10">
        <f>B32/1.1</f>
        <v>1257019.4363636363</v>
      </c>
      <c r="D32" s="10">
        <f t="shared" ref="D32" si="20">C32*10/100</f>
        <v>125701.94363636363</v>
      </c>
      <c r="E32" s="6">
        <f>SUM(E3:E31)</f>
        <v>3050</v>
      </c>
      <c r="F32" s="10">
        <f t="shared" si="2"/>
        <v>2541.666666666667</v>
      </c>
      <c r="G32" s="10">
        <f t="shared" ref="G32" si="21">F32*20/100</f>
        <v>508.33333333333343</v>
      </c>
      <c r="H32" s="6">
        <f>SUM(H3:H31)</f>
        <v>26438.09</v>
      </c>
      <c r="I32" s="10">
        <f t="shared" si="4"/>
        <v>24034.62727272727</v>
      </c>
      <c r="J32" s="10">
        <f t="shared" ref="J32" si="22">I32*10/100</f>
        <v>2403.4627272727271</v>
      </c>
      <c r="K32" s="6">
        <f>SUM(K3:K31)</f>
        <v>900</v>
      </c>
      <c r="L32" s="10">
        <f t="shared" si="6"/>
        <v>750</v>
      </c>
      <c r="M32" s="10">
        <f t="shared" ref="M32" si="23">L32*20/100</f>
        <v>150</v>
      </c>
      <c r="N32" s="6">
        <f>SUM(N3:N31)</f>
        <v>17410.53</v>
      </c>
      <c r="O32" s="10">
        <f t="shared" si="8"/>
        <v>14508.775</v>
      </c>
      <c r="P32" s="10">
        <f t="shared" ref="P32" si="24">O32*20/100</f>
        <v>2901.7550000000001</v>
      </c>
      <c r="Q32" s="6">
        <f>SUM(Q3:Q31)</f>
        <v>87185</v>
      </c>
      <c r="R32" s="6">
        <f>SUM(R3:R31)</f>
        <v>1322385</v>
      </c>
      <c r="S32" s="6"/>
      <c r="T32" s="6">
        <f>SUM(T3:T31)</f>
        <v>6725</v>
      </c>
      <c r="U32" s="6">
        <f>SUM(U4:U31)</f>
        <v>698495</v>
      </c>
      <c r="V32" s="3"/>
    </row>
    <row r="33" spans="2:21" x14ac:dyDescent="0.3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2:21" x14ac:dyDescent="0.3">
      <c r="H34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zoomScale="70" zoomScaleNormal="70" workbookViewId="0">
      <selection activeCell="F53" sqref="F53"/>
    </sheetView>
  </sheetViews>
  <sheetFormatPr defaultRowHeight="14.4" x14ac:dyDescent="0.3"/>
  <cols>
    <col min="1" max="1" width="15.6640625" style="4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2.33203125" customWidth="1"/>
    <col min="18" max="18" width="16.88671875" customWidth="1"/>
    <col min="19" max="19" width="11.6640625" customWidth="1"/>
    <col min="20" max="20" width="13.88671875" customWidth="1"/>
    <col min="21" max="21" width="16.88671875" customWidth="1"/>
    <col min="22" max="22" width="32.109375" style="4" hidden="1" customWidth="1"/>
    <col min="23" max="23" width="11.88671875" customWidth="1"/>
    <col min="24" max="24" width="11.6640625" customWidth="1"/>
    <col min="25" max="25" width="12.109375" customWidth="1"/>
  </cols>
  <sheetData>
    <row r="1" spans="1:25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38" t="s">
        <v>8</v>
      </c>
      <c r="U1" s="139"/>
      <c r="V1" s="12" t="s">
        <v>10</v>
      </c>
    </row>
    <row r="2" spans="1:25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5" x14ac:dyDescent="0.3">
      <c r="A3" s="8">
        <v>45749</v>
      </c>
      <c r="B3" s="11">
        <f>900+23370</f>
        <v>24270</v>
      </c>
      <c r="C3" s="9">
        <f t="shared" ref="C3:C27" si="0">B3/1.1</f>
        <v>22063.63636363636</v>
      </c>
      <c r="D3" s="9">
        <f t="shared" ref="D3:D27" si="1">C3*0.1</f>
        <v>2206.363636363636</v>
      </c>
      <c r="E3" s="11">
        <f>1850+8065.88+5958+11140</f>
        <v>27013.88</v>
      </c>
      <c r="F3" s="9">
        <f t="shared" ref="F3:F28" si="2">E3/1.2</f>
        <v>22511.566666666669</v>
      </c>
      <c r="G3" s="9">
        <f t="shared" ref="G3:G27" si="3">F3*0.2</f>
        <v>4502.3133333333344</v>
      </c>
      <c r="H3" s="11">
        <f>313.67+2930</f>
        <v>3243.67</v>
      </c>
      <c r="I3" s="9">
        <f t="shared" ref="I3:I28" si="4">H3/1.1</f>
        <v>2948.7909090909088</v>
      </c>
      <c r="J3" s="9">
        <f t="shared" ref="J3:J27" si="5">I3*0.1</f>
        <v>294.87909090909091</v>
      </c>
      <c r="K3" s="11">
        <f>600+620.45+662+2100</f>
        <v>3982.45</v>
      </c>
      <c r="L3" s="9">
        <f t="shared" ref="L3:L28" si="6">K3/1.2</f>
        <v>3318.7083333333335</v>
      </c>
      <c r="M3" s="9">
        <f t="shared" ref="M3:M27" si="7">L3*0.2</f>
        <v>663.74166666666679</v>
      </c>
      <c r="N3" s="11">
        <v>600</v>
      </c>
      <c r="O3" s="9">
        <f t="shared" ref="O3:O28" si="8">N3/1.2</f>
        <v>500</v>
      </c>
      <c r="P3" s="9">
        <f t="shared" ref="P3:P27" si="9">O3*0.2</f>
        <v>100</v>
      </c>
      <c r="Q3" s="37">
        <f>2075</f>
        <v>2075</v>
      </c>
      <c r="R3" s="11">
        <f>3350+9000+6620+38065</f>
        <v>57035</v>
      </c>
      <c r="S3" s="9">
        <v>0</v>
      </c>
      <c r="T3" s="9">
        <v>0</v>
      </c>
      <c r="U3" s="36">
        <v>29485</v>
      </c>
      <c r="V3" s="3"/>
    </row>
    <row r="4" spans="1:25" x14ac:dyDescent="0.3">
      <c r="A4" s="8">
        <v>45750</v>
      </c>
      <c r="B4" s="11">
        <f>41140</f>
        <v>41140</v>
      </c>
      <c r="C4" s="9">
        <f t="shared" si="0"/>
        <v>37400</v>
      </c>
      <c r="D4" s="9">
        <f t="shared" si="1"/>
        <v>3740</v>
      </c>
      <c r="E4" s="11">
        <v>8930</v>
      </c>
      <c r="F4" s="9">
        <f t="shared" si="2"/>
        <v>7441.666666666667</v>
      </c>
      <c r="G4" s="9">
        <f t="shared" si="3"/>
        <v>1488.3333333333335</v>
      </c>
      <c r="H4" s="11">
        <v>2205</v>
      </c>
      <c r="I4" s="9">
        <f t="shared" si="4"/>
        <v>2004.5454545454543</v>
      </c>
      <c r="J4" s="9">
        <f t="shared" si="5"/>
        <v>200.45454545454544</v>
      </c>
      <c r="K4" s="11">
        <v>3900</v>
      </c>
      <c r="L4" s="9">
        <f t="shared" si="6"/>
        <v>3250</v>
      </c>
      <c r="M4" s="9">
        <f t="shared" si="7"/>
        <v>650</v>
      </c>
      <c r="N4" s="9">
        <v>0</v>
      </c>
      <c r="O4" s="9">
        <f t="shared" si="8"/>
        <v>0</v>
      </c>
      <c r="P4" s="9">
        <f t="shared" si="9"/>
        <v>0</v>
      </c>
      <c r="Q4" s="11">
        <v>2920</v>
      </c>
      <c r="R4" s="11">
        <v>53255</v>
      </c>
      <c r="S4" s="9">
        <v>0</v>
      </c>
      <c r="T4" s="9">
        <v>0</v>
      </c>
      <c r="U4" s="17">
        <v>20520</v>
      </c>
      <c r="V4" s="3"/>
    </row>
    <row r="5" spans="1:25" x14ac:dyDescent="0.3">
      <c r="A5" s="8">
        <v>45751</v>
      </c>
      <c r="B5" s="11">
        <f>37905</f>
        <v>37905</v>
      </c>
      <c r="C5" s="9">
        <f t="shared" si="0"/>
        <v>34459.090909090904</v>
      </c>
      <c r="D5" s="9">
        <f t="shared" si="1"/>
        <v>3445.9090909090905</v>
      </c>
      <c r="E5" s="11">
        <f>2650+3180+10850</f>
        <v>16680</v>
      </c>
      <c r="F5" s="9">
        <f t="shared" si="2"/>
        <v>13900</v>
      </c>
      <c r="G5" s="9">
        <f t="shared" si="3"/>
        <v>2780</v>
      </c>
      <c r="H5" s="11">
        <f>150+250</f>
        <v>400</v>
      </c>
      <c r="I5" s="9">
        <f t="shared" si="4"/>
        <v>363.63636363636363</v>
      </c>
      <c r="J5" s="9">
        <f t="shared" si="5"/>
        <v>36.363636363636367</v>
      </c>
      <c r="K5" s="11">
        <f>400+400+3600</f>
        <v>4400</v>
      </c>
      <c r="L5" s="9">
        <f t="shared" si="6"/>
        <v>3666.666666666667</v>
      </c>
      <c r="M5" s="9">
        <f t="shared" si="7"/>
        <v>733.33333333333348</v>
      </c>
      <c r="N5" s="9">
        <v>0</v>
      </c>
      <c r="O5" s="9">
        <f t="shared" si="8"/>
        <v>0</v>
      </c>
      <c r="P5" s="9">
        <f t="shared" si="9"/>
        <v>0</v>
      </c>
      <c r="Q5" s="9">
        <v>0</v>
      </c>
      <c r="R5" s="11">
        <f>3200+3580+52605</f>
        <v>59385</v>
      </c>
      <c r="S5" s="9">
        <v>0</v>
      </c>
      <c r="T5" s="9">
        <v>0</v>
      </c>
      <c r="U5" s="17">
        <v>6070</v>
      </c>
      <c r="V5" s="3"/>
    </row>
    <row r="6" spans="1:25" x14ac:dyDescent="0.3">
      <c r="A6" s="8">
        <v>45752</v>
      </c>
      <c r="B6" s="11">
        <f>3980+35790+5000</f>
        <v>44770</v>
      </c>
      <c r="C6" s="9">
        <f t="shared" si="0"/>
        <v>40700</v>
      </c>
      <c r="D6" s="9">
        <f t="shared" si="1"/>
        <v>4070</v>
      </c>
      <c r="E6" s="11">
        <f>13450+3595+13520+1800</f>
        <v>32365</v>
      </c>
      <c r="F6" s="9">
        <f t="shared" si="2"/>
        <v>26970.833333333336</v>
      </c>
      <c r="G6" s="9">
        <f t="shared" si="3"/>
        <v>5394.1666666666679</v>
      </c>
      <c r="H6" s="11">
        <f>1275+925+135</f>
        <v>2335</v>
      </c>
      <c r="I6" s="9">
        <f t="shared" si="4"/>
        <v>2122.7272727272725</v>
      </c>
      <c r="J6" s="9">
        <f t="shared" si="5"/>
        <v>212.27272727272725</v>
      </c>
      <c r="K6" s="11">
        <f>2400+1300+3150+600</f>
        <v>7450</v>
      </c>
      <c r="L6" s="9">
        <f t="shared" si="6"/>
        <v>6208.3333333333339</v>
      </c>
      <c r="M6" s="9">
        <f t="shared" si="7"/>
        <v>1241.666666666667</v>
      </c>
      <c r="N6" s="11">
        <v>500</v>
      </c>
      <c r="O6" s="9">
        <f t="shared" si="8"/>
        <v>416.66666666666669</v>
      </c>
      <c r="P6" s="9">
        <f t="shared" si="9"/>
        <v>83.333333333333343</v>
      </c>
      <c r="Q6" s="11">
        <f>1200+2900</f>
        <v>4100</v>
      </c>
      <c r="R6" s="11">
        <f>15925+6900+53095+7400</f>
        <v>83320</v>
      </c>
      <c r="S6" s="9">
        <v>0</v>
      </c>
      <c r="T6" s="11">
        <v>550</v>
      </c>
      <c r="U6" s="17">
        <f>27775+99940+4295+26765</f>
        <v>158775</v>
      </c>
      <c r="V6" s="3"/>
    </row>
    <row r="7" spans="1:25" x14ac:dyDescent="0.3">
      <c r="A7" s="8">
        <v>45753</v>
      </c>
      <c r="B7" s="11">
        <f>26555</f>
        <v>26555</v>
      </c>
      <c r="C7" s="9">
        <f t="shared" si="0"/>
        <v>24140.909090909088</v>
      </c>
      <c r="D7" s="9">
        <f t="shared" si="1"/>
        <v>2414.090909090909</v>
      </c>
      <c r="E7" s="11">
        <f>16740+2400</f>
        <v>19140</v>
      </c>
      <c r="F7" s="9">
        <f t="shared" si="2"/>
        <v>15950</v>
      </c>
      <c r="G7" s="9">
        <f t="shared" si="3"/>
        <v>3190</v>
      </c>
      <c r="H7" s="11">
        <f>1620</f>
        <v>1620</v>
      </c>
      <c r="I7" s="9">
        <f t="shared" si="4"/>
        <v>1472.7272727272725</v>
      </c>
      <c r="J7" s="9">
        <f t="shared" si="5"/>
        <v>147.27272727272725</v>
      </c>
      <c r="K7" s="11">
        <f>2100+800</f>
        <v>2900</v>
      </c>
      <c r="L7" s="9">
        <f t="shared" si="6"/>
        <v>2416.666666666667</v>
      </c>
      <c r="M7" s="9">
        <f t="shared" si="7"/>
        <v>483.33333333333343</v>
      </c>
      <c r="N7" s="11">
        <f>585+800</f>
        <v>1385</v>
      </c>
      <c r="O7" s="9">
        <f t="shared" si="8"/>
        <v>1154.1666666666667</v>
      </c>
      <c r="P7" s="9">
        <f t="shared" si="9"/>
        <v>230.83333333333337</v>
      </c>
      <c r="Q7" s="37">
        <v>8565</v>
      </c>
      <c r="R7" s="37">
        <f>32570+4000</f>
        <v>36570</v>
      </c>
      <c r="S7" s="37">
        <v>6465</v>
      </c>
      <c r="T7" s="9">
        <v>0</v>
      </c>
      <c r="U7" s="36">
        <v>12245</v>
      </c>
      <c r="V7" s="3"/>
      <c r="W7">
        <f>47600+4000+12245</f>
        <v>63845</v>
      </c>
      <c r="Y7" s="5"/>
    </row>
    <row r="8" spans="1:25" x14ac:dyDescent="0.3">
      <c r="A8" s="8">
        <v>45755</v>
      </c>
      <c r="B8" s="11">
        <v>14580</v>
      </c>
      <c r="C8" s="9">
        <f t="shared" si="0"/>
        <v>13254.545454545454</v>
      </c>
      <c r="D8" s="9">
        <f t="shared" si="1"/>
        <v>1325.4545454545455</v>
      </c>
      <c r="E8" s="11">
        <v>5265</v>
      </c>
      <c r="F8" s="9">
        <f t="shared" si="2"/>
        <v>4387.5</v>
      </c>
      <c r="G8" s="9">
        <f t="shared" si="3"/>
        <v>877.5</v>
      </c>
      <c r="H8" s="11">
        <f>1620</f>
        <v>1620</v>
      </c>
      <c r="I8" s="9">
        <f t="shared" si="4"/>
        <v>1472.7272727272725</v>
      </c>
      <c r="J8" s="9">
        <f t="shared" si="5"/>
        <v>147.27272727272725</v>
      </c>
      <c r="K8" s="11">
        <v>1200</v>
      </c>
      <c r="L8" s="9">
        <f t="shared" si="6"/>
        <v>1000</v>
      </c>
      <c r="M8" s="9">
        <f t="shared" si="7"/>
        <v>200</v>
      </c>
      <c r="N8" s="9">
        <v>0</v>
      </c>
      <c r="O8" s="9">
        <f t="shared" si="8"/>
        <v>0</v>
      </c>
      <c r="P8" s="9">
        <f t="shared" si="9"/>
        <v>0</v>
      </c>
      <c r="Q8" s="11">
        <v>4760</v>
      </c>
      <c r="R8" s="11">
        <v>16285</v>
      </c>
      <c r="S8" s="9">
        <v>0</v>
      </c>
      <c r="T8" s="9">
        <v>0</v>
      </c>
      <c r="U8" s="17">
        <v>10150</v>
      </c>
      <c r="V8" s="3"/>
    </row>
    <row r="9" spans="1:25" x14ac:dyDescent="0.3">
      <c r="A9" s="8">
        <v>45756</v>
      </c>
      <c r="B9" s="11">
        <f>9325+16755</f>
        <v>26080</v>
      </c>
      <c r="C9" s="9">
        <f t="shared" si="0"/>
        <v>23709.090909090908</v>
      </c>
      <c r="D9" s="9">
        <f t="shared" si="1"/>
        <v>2370.909090909091</v>
      </c>
      <c r="E9" s="11">
        <f>2650+10900+5450+2975</f>
        <v>21975</v>
      </c>
      <c r="F9" s="9">
        <f t="shared" si="2"/>
        <v>18312.5</v>
      </c>
      <c r="G9" s="9">
        <f t="shared" si="3"/>
        <v>3662.5</v>
      </c>
      <c r="H9" s="11">
        <f>1680+850+85+85</f>
        <v>2700</v>
      </c>
      <c r="I9" s="9">
        <f t="shared" si="4"/>
        <v>2454.5454545454545</v>
      </c>
      <c r="J9" s="9">
        <f t="shared" si="5"/>
        <v>245.45454545454547</v>
      </c>
      <c r="K9" s="11">
        <f>1500+2100+600+600</f>
        <v>4800</v>
      </c>
      <c r="L9" s="9">
        <f t="shared" si="6"/>
        <v>4000</v>
      </c>
      <c r="M9" s="9">
        <f t="shared" si="7"/>
        <v>800</v>
      </c>
      <c r="N9" s="11">
        <v>2100</v>
      </c>
      <c r="O9" s="9">
        <f t="shared" si="8"/>
        <v>1750</v>
      </c>
      <c r="P9" s="9">
        <f t="shared" si="9"/>
        <v>350</v>
      </c>
      <c r="Q9" s="11">
        <f>670</f>
        <v>670</v>
      </c>
      <c r="R9" s="11">
        <f>14485+32705+6135+3660</f>
        <v>56985</v>
      </c>
      <c r="S9" s="9">
        <v>0</v>
      </c>
      <c r="T9" s="9">
        <v>0</v>
      </c>
      <c r="U9" s="17">
        <f>8370+33600</f>
        <v>41970</v>
      </c>
      <c r="V9" s="3"/>
      <c r="X9" s="5"/>
    </row>
    <row r="10" spans="1:25" x14ac:dyDescent="0.3">
      <c r="A10" s="8">
        <v>45757</v>
      </c>
      <c r="B10" s="11">
        <f>2390</f>
        <v>2390</v>
      </c>
      <c r="C10" s="9">
        <f t="shared" si="0"/>
        <v>2172.7272727272725</v>
      </c>
      <c r="D10" s="9">
        <f t="shared" si="1"/>
        <v>217.27272727272725</v>
      </c>
      <c r="E10" s="11">
        <f>2250+1800+3525</f>
        <v>7575</v>
      </c>
      <c r="F10" s="9">
        <f t="shared" si="2"/>
        <v>6312.5</v>
      </c>
      <c r="G10" s="9">
        <f t="shared" si="3"/>
        <v>1262.5</v>
      </c>
      <c r="H10" s="11">
        <f>935+850</f>
        <v>1785</v>
      </c>
      <c r="I10" s="9">
        <f t="shared" si="4"/>
        <v>1622.7272727272725</v>
      </c>
      <c r="J10" s="9">
        <f t="shared" si="5"/>
        <v>162.27272727272725</v>
      </c>
      <c r="K10" s="11">
        <f>600+450</f>
        <v>1050</v>
      </c>
      <c r="L10" s="9">
        <f t="shared" si="6"/>
        <v>875</v>
      </c>
      <c r="M10" s="9">
        <f t="shared" si="7"/>
        <v>175</v>
      </c>
      <c r="N10" s="9">
        <v>0</v>
      </c>
      <c r="O10" s="9">
        <f t="shared" si="8"/>
        <v>0</v>
      </c>
      <c r="P10" s="9">
        <f t="shared" si="9"/>
        <v>0</v>
      </c>
      <c r="Q10" s="11">
        <v>600</v>
      </c>
      <c r="R10" s="11">
        <f>3785+5490+2925</f>
        <v>12200</v>
      </c>
      <c r="S10" s="9">
        <v>0</v>
      </c>
      <c r="T10" s="11">
        <v>1400</v>
      </c>
      <c r="U10" s="17">
        <f>17100+14445</f>
        <v>31545</v>
      </c>
      <c r="V10" s="3"/>
    </row>
    <row r="11" spans="1:25" x14ac:dyDescent="0.3">
      <c r="A11" s="8">
        <v>45758</v>
      </c>
      <c r="B11" s="11">
        <f>9430+23870</f>
        <v>33300</v>
      </c>
      <c r="C11" s="9">
        <f t="shared" si="0"/>
        <v>30272.727272727272</v>
      </c>
      <c r="D11" s="9">
        <f t="shared" si="1"/>
        <v>3027.2727272727275</v>
      </c>
      <c r="E11" s="11">
        <f>1150+14575</f>
        <v>15725</v>
      </c>
      <c r="F11" s="9">
        <f t="shared" si="2"/>
        <v>13104.166666666668</v>
      </c>
      <c r="G11" s="9">
        <f t="shared" si="3"/>
        <v>2620.8333333333339</v>
      </c>
      <c r="H11" s="11">
        <f>4080+2245</f>
        <v>6325</v>
      </c>
      <c r="I11" s="9">
        <f t="shared" si="4"/>
        <v>5749.9999999999991</v>
      </c>
      <c r="J11" s="9">
        <f t="shared" si="5"/>
        <v>574.99999999999989</v>
      </c>
      <c r="K11" s="11">
        <f>600+3650</f>
        <v>4250</v>
      </c>
      <c r="L11" s="9">
        <f t="shared" si="6"/>
        <v>3541.666666666667</v>
      </c>
      <c r="M11" s="9">
        <f t="shared" si="7"/>
        <v>708.33333333333348</v>
      </c>
      <c r="N11" s="11">
        <v>410</v>
      </c>
      <c r="O11" s="9">
        <f t="shared" si="8"/>
        <v>341.66666666666669</v>
      </c>
      <c r="P11" s="9">
        <f t="shared" si="9"/>
        <v>68.333333333333343</v>
      </c>
      <c r="Q11" s="9">
        <f>0</f>
        <v>0</v>
      </c>
      <c r="R11" s="11">
        <f>15260+44750</f>
        <v>60010</v>
      </c>
      <c r="S11" s="9">
        <v>0</v>
      </c>
      <c r="T11" s="11">
        <v>5000</v>
      </c>
      <c r="U11" s="17">
        <f>18000+45000</f>
        <v>63000</v>
      </c>
      <c r="V11" s="3"/>
    </row>
    <row r="12" spans="1:25" x14ac:dyDescent="0.3">
      <c r="A12" s="8">
        <v>45759</v>
      </c>
      <c r="B12" s="11">
        <f>4060+13010+53755+1200</f>
        <v>72025</v>
      </c>
      <c r="C12" s="9">
        <f t="shared" si="0"/>
        <v>65477.272727272721</v>
      </c>
      <c r="D12" s="9">
        <f t="shared" si="1"/>
        <v>6547.7272727272721</v>
      </c>
      <c r="E12" s="11">
        <f>3250+6000+7180+18255+17000</f>
        <v>51685</v>
      </c>
      <c r="F12" s="9">
        <f t="shared" si="2"/>
        <v>43070.833333333336</v>
      </c>
      <c r="G12" s="9">
        <f t="shared" si="3"/>
        <v>8614.1666666666679</v>
      </c>
      <c r="H12" s="11">
        <f>200+1025+1275+85</f>
        <v>2585</v>
      </c>
      <c r="I12" s="9">
        <f t="shared" si="4"/>
        <v>2350</v>
      </c>
      <c r="J12" s="9">
        <f t="shared" si="5"/>
        <v>235</v>
      </c>
      <c r="K12" s="11">
        <f>300+2000+1950+4050+2000</f>
        <v>10300</v>
      </c>
      <c r="L12" s="9">
        <f t="shared" si="6"/>
        <v>8583.3333333333339</v>
      </c>
      <c r="M12" s="9">
        <f t="shared" si="7"/>
        <v>1716.666666666667</v>
      </c>
      <c r="N12" s="11">
        <f>655+1300</f>
        <v>1955</v>
      </c>
      <c r="O12" s="9">
        <f t="shared" si="8"/>
        <v>1629.1666666666667</v>
      </c>
      <c r="P12" s="9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9">
        <v>0</v>
      </c>
      <c r="T12" s="11">
        <f>1600</f>
        <v>1600</v>
      </c>
      <c r="U12" s="17">
        <f>42130+47520+24370+3000</f>
        <v>117020</v>
      </c>
      <c r="V12" s="3"/>
    </row>
    <row r="13" spans="1:25" x14ac:dyDescent="0.3">
      <c r="A13" s="8">
        <v>45760</v>
      </c>
      <c r="B13" s="11">
        <v>49275</v>
      </c>
      <c r="C13" s="9">
        <f t="shared" si="0"/>
        <v>44795.454545454544</v>
      </c>
      <c r="D13" s="9">
        <f t="shared" si="1"/>
        <v>4479.545454545455</v>
      </c>
      <c r="E13" s="11">
        <f>3575+3700</f>
        <v>7275</v>
      </c>
      <c r="F13" s="9">
        <f t="shared" si="2"/>
        <v>6062.5</v>
      </c>
      <c r="G13" s="9">
        <f t="shared" si="3"/>
        <v>1212.5</v>
      </c>
      <c r="H13" s="11">
        <v>3755</v>
      </c>
      <c r="I13" s="9">
        <f t="shared" si="4"/>
        <v>3413.6363636363635</v>
      </c>
      <c r="J13" s="9">
        <f t="shared" si="5"/>
        <v>341.36363636363637</v>
      </c>
      <c r="K13" s="11">
        <f>1800+1200</f>
        <v>3000</v>
      </c>
      <c r="L13" s="9">
        <f t="shared" si="6"/>
        <v>2500</v>
      </c>
      <c r="M13" s="9">
        <f t="shared" si="7"/>
        <v>500</v>
      </c>
      <c r="N13" s="9">
        <v>0</v>
      </c>
      <c r="O13" s="9">
        <f t="shared" si="8"/>
        <v>0</v>
      </c>
      <c r="P13" s="9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9">
        <v>0</v>
      </c>
      <c r="U13" s="17">
        <v>10500</v>
      </c>
      <c r="V13" s="3"/>
    </row>
    <row r="14" spans="1:25" x14ac:dyDescent="0.3">
      <c r="A14" s="8">
        <v>45762</v>
      </c>
      <c r="B14" s="11">
        <f>42410+6050</f>
        <v>48460</v>
      </c>
      <c r="C14" s="9">
        <f t="shared" si="0"/>
        <v>44054.545454545449</v>
      </c>
      <c r="D14" s="9">
        <f t="shared" si="1"/>
        <v>4405.454545454545</v>
      </c>
      <c r="E14" s="11">
        <f>13760+3150</f>
        <v>16910</v>
      </c>
      <c r="F14" s="9">
        <f t="shared" si="2"/>
        <v>14091.666666666668</v>
      </c>
      <c r="G14" s="9">
        <f t="shared" si="3"/>
        <v>2818.3333333333339</v>
      </c>
      <c r="H14" s="11">
        <f>1480+200</f>
        <v>1680</v>
      </c>
      <c r="I14" s="9">
        <f t="shared" si="4"/>
        <v>1527.2727272727273</v>
      </c>
      <c r="J14" s="9">
        <f t="shared" si="5"/>
        <v>152.72727272727272</v>
      </c>
      <c r="K14" s="11">
        <f>3900+400</f>
        <v>4300</v>
      </c>
      <c r="L14" s="9">
        <f t="shared" si="6"/>
        <v>3583.3333333333335</v>
      </c>
      <c r="M14" s="9">
        <f t="shared" si="7"/>
        <v>716.66666666666674</v>
      </c>
      <c r="N14" s="11">
        <v>1210</v>
      </c>
      <c r="O14" s="9">
        <f t="shared" si="8"/>
        <v>1008.3333333333334</v>
      </c>
      <c r="P14" s="9">
        <f t="shared" si="9"/>
        <v>201.66666666666669</v>
      </c>
      <c r="Q14" s="11">
        <v>4900</v>
      </c>
      <c r="R14" s="11">
        <f>62760+4900-8200</f>
        <v>59460</v>
      </c>
      <c r="S14" s="11">
        <v>8200</v>
      </c>
      <c r="T14" s="9">
        <v>0</v>
      </c>
      <c r="U14" s="17">
        <v>53375.41</v>
      </c>
      <c r="V14" s="3"/>
    </row>
    <row r="15" spans="1:25" x14ac:dyDescent="0.3">
      <c r="A15" s="8">
        <v>45763</v>
      </c>
      <c r="B15" s="11">
        <f>42023.9+3810+2278.48</f>
        <v>48112.380000000005</v>
      </c>
      <c r="C15" s="9">
        <f t="shared" si="0"/>
        <v>43738.527272727275</v>
      </c>
      <c r="D15" s="9">
        <f t="shared" si="1"/>
        <v>4373.8527272727279</v>
      </c>
      <c r="E15" s="11">
        <f>6461.21+1600+6868.36</f>
        <v>14929.57</v>
      </c>
      <c r="F15" s="9">
        <f t="shared" si="2"/>
        <v>12441.308333333334</v>
      </c>
      <c r="G15" s="9">
        <f t="shared" si="3"/>
        <v>2488.2616666666672</v>
      </c>
      <c r="H15" s="11">
        <f>2070.08+200</f>
        <v>2270.08</v>
      </c>
      <c r="I15" s="9">
        <f t="shared" si="4"/>
        <v>2063.7090909090907</v>
      </c>
      <c r="J15" s="9">
        <f t="shared" si="5"/>
        <v>206.37090909090909</v>
      </c>
      <c r="K15" s="11">
        <f>3199.81+300+253.16</f>
        <v>3752.97</v>
      </c>
      <c r="L15" s="9">
        <f t="shared" si="6"/>
        <v>3127.4749999999999</v>
      </c>
      <c r="M15" s="9">
        <f t="shared" si="7"/>
        <v>625.495</v>
      </c>
      <c r="N15" s="9">
        <v>0</v>
      </c>
      <c r="O15" s="9">
        <f t="shared" si="8"/>
        <v>0</v>
      </c>
      <c r="P15" s="9">
        <f t="shared" si="9"/>
        <v>0</v>
      </c>
      <c r="Q15" s="11">
        <f>2400</f>
        <v>2400</v>
      </c>
      <c r="R15" s="11">
        <f>51355+5910+9400</f>
        <v>66665</v>
      </c>
      <c r="S15" s="9">
        <v>0</v>
      </c>
      <c r="T15" s="9">
        <v>0</v>
      </c>
      <c r="U15" s="17">
        <f>50805+2500+18680</f>
        <v>71985</v>
      </c>
      <c r="V15" s="15"/>
    </row>
    <row r="16" spans="1:25" x14ac:dyDescent="0.3">
      <c r="A16" s="8">
        <v>45764</v>
      </c>
      <c r="B16" s="11">
        <f>24880+3300</f>
        <v>28180</v>
      </c>
      <c r="C16" s="9">
        <f t="shared" si="0"/>
        <v>25618.181818181816</v>
      </c>
      <c r="D16" s="9">
        <f t="shared" si="1"/>
        <v>2561.818181818182</v>
      </c>
      <c r="E16" s="11">
        <f>8865+1190</f>
        <v>10055</v>
      </c>
      <c r="F16" s="9">
        <f t="shared" si="2"/>
        <v>8379.1666666666679</v>
      </c>
      <c r="G16" s="9">
        <f t="shared" si="3"/>
        <v>1675.8333333333337</v>
      </c>
      <c r="H16" s="11">
        <f>785+625</f>
        <v>1410</v>
      </c>
      <c r="I16" s="9">
        <f t="shared" si="4"/>
        <v>1281.8181818181818</v>
      </c>
      <c r="J16" s="9">
        <f t="shared" si="5"/>
        <v>128.18181818181819</v>
      </c>
      <c r="K16" s="11">
        <f>2550+300</f>
        <v>2850</v>
      </c>
      <c r="L16" s="9">
        <f t="shared" si="6"/>
        <v>2375</v>
      </c>
      <c r="M16" s="9">
        <f t="shared" si="7"/>
        <v>475</v>
      </c>
      <c r="N16" s="11">
        <v>205</v>
      </c>
      <c r="O16" s="9">
        <f t="shared" si="8"/>
        <v>170.83333333333334</v>
      </c>
      <c r="P16" s="9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7">
        <f>1200+10800+14695</f>
        <v>26695</v>
      </c>
      <c r="V16" s="3"/>
    </row>
    <row r="17" spans="1:23" x14ac:dyDescent="0.3">
      <c r="A17" s="8">
        <v>45765</v>
      </c>
      <c r="B17" s="11">
        <f>36255</f>
        <v>36255</v>
      </c>
      <c r="C17" s="9">
        <f t="shared" si="0"/>
        <v>32959.090909090904</v>
      </c>
      <c r="D17" s="9">
        <f t="shared" si="1"/>
        <v>3295.9090909090905</v>
      </c>
      <c r="E17" s="11">
        <v>7460</v>
      </c>
      <c r="F17" s="9">
        <f t="shared" si="2"/>
        <v>6216.666666666667</v>
      </c>
      <c r="G17" s="9">
        <f t="shared" si="3"/>
        <v>1243.3333333333335</v>
      </c>
      <c r="H17" s="11">
        <v>2545</v>
      </c>
      <c r="I17" s="9">
        <f t="shared" si="4"/>
        <v>2313.6363636363635</v>
      </c>
      <c r="J17" s="9">
        <f t="shared" si="5"/>
        <v>231.36363636363637</v>
      </c>
      <c r="K17" s="11">
        <v>4800</v>
      </c>
      <c r="L17" s="9">
        <f t="shared" si="6"/>
        <v>4000</v>
      </c>
      <c r="M17" s="9">
        <f t="shared" si="7"/>
        <v>800</v>
      </c>
      <c r="N17" s="9">
        <v>0</v>
      </c>
      <c r="O17" s="9">
        <f t="shared" si="8"/>
        <v>0</v>
      </c>
      <c r="P17" s="9">
        <f t="shared" si="9"/>
        <v>0</v>
      </c>
      <c r="Q17" s="9">
        <v>0</v>
      </c>
      <c r="R17" s="25">
        <f>51060-5675</f>
        <v>45385</v>
      </c>
      <c r="S17" s="26">
        <v>5675</v>
      </c>
      <c r="T17" s="9">
        <v>0</v>
      </c>
      <c r="U17" s="11">
        <v>10085</v>
      </c>
      <c r="V17" s="3"/>
      <c r="W17">
        <f>47600-8565</f>
        <v>39035</v>
      </c>
    </row>
    <row r="18" spans="1:23" x14ac:dyDescent="0.3">
      <c r="A18" s="8">
        <v>45766</v>
      </c>
      <c r="B18" s="11">
        <f>8520+48552.71</f>
        <v>57072.71</v>
      </c>
      <c r="C18" s="9">
        <f t="shared" si="0"/>
        <v>51884.281818181815</v>
      </c>
      <c r="D18" s="9">
        <f t="shared" si="1"/>
        <v>5188.4281818181817</v>
      </c>
      <c r="E18" s="11">
        <f>10850+6770+7200+8967.63+24185.3</f>
        <v>57972.929999999993</v>
      </c>
      <c r="F18" s="9">
        <f t="shared" si="2"/>
        <v>48310.774999999994</v>
      </c>
      <c r="G18" s="9">
        <f t="shared" si="3"/>
        <v>9662.1549999999988</v>
      </c>
      <c r="H18" s="11">
        <f>310+640+287.37+1050</f>
        <v>2287.37</v>
      </c>
      <c r="I18" s="9">
        <f t="shared" si="4"/>
        <v>2079.4272727272723</v>
      </c>
      <c r="J18" s="9">
        <f t="shared" si="5"/>
        <v>207.94272727272724</v>
      </c>
      <c r="K18" s="11">
        <f>2000+1750+800+1800+4591.99</f>
        <v>10941.99</v>
      </c>
      <c r="L18" s="9">
        <f t="shared" si="6"/>
        <v>9118.3250000000007</v>
      </c>
      <c r="M18" s="9">
        <f t="shared" si="7"/>
        <v>1823.6650000000002</v>
      </c>
      <c r="N18" s="11">
        <f>800+750</f>
        <v>1550</v>
      </c>
      <c r="O18" s="9">
        <f t="shared" si="8"/>
        <v>1291.6666666666667</v>
      </c>
      <c r="P18" s="9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9">
        <v>0</v>
      </c>
      <c r="T18" s="9">
        <v>0</v>
      </c>
      <c r="U18" s="17">
        <f>5000+24910</f>
        <v>29910</v>
      </c>
      <c r="V18" s="3"/>
      <c r="W18">
        <f>+W17-6465</f>
        <v>32570</v>
      </c>
    </row>
    <row r="19" spans="1:23" x14ac:dyDescent="0.3">
      <c r="A19" s="8">
        <v>45767</v>
      </c>
      <c r="B19" s="11">
        <v>28685</v>
      </c>
      <c r="C19" s="9">
        <f t="shared" si="0"/>
        <v>26077.272727272724</v>
      </c>
      <c r="D19" s="9">
        <f t="shared" si="1"/>
        <v>2607.7272727272725</v>
      </c>
      <c r="E19" s="11">
        <f>6000+2300</f>
        <v>8300</v>
      </c>
      <c r="F19" s="9">
        <f t="shared" si="2"/>
        <v>6916.666666666667</v>
      </c>
      <c r="G19" s="9">
        <f t="shared" si="3"/>
        <v>1383.3333333333335</v>
      </c>
      <c r="H19" s="11">
        <f>720+1560</f>
        <v>2280</v>
      </c>
      <c r="I19" s="9">
        <f t="shared" si="4"/>
        <v>2072.7272727272725</v>
      </c>
      <c r="J19" s="9">
        <f t="shared" si="5"/>
        <v>207.27272727272725</v>
      </c>
      <c r="K19" s="11">
        <f>800+1500</f>
        <v>2300</v>
      </c>
      <c r="L19" s="9">
        <f t="shared" si="6"/>
        <v>1916.6666666666667</v>
      </c>
      <c r="M19" s="9">
        <f t="shared" si="7"/>
        <v>383.33333333333337</v>
      </c>
      <c r="N19" s="9">
        <v>0</v>
      </c>
      <c r="O19" s="9">
        <f t="shared" si="8"/>
        <v>0</v>
      </c>
      <c r="P19" s="9">
        <f t="shared" si="9"/>
        <v>0</v>
      </c>
      <c r="Q19" s="11">
        <v>895</v>
      </c>
      <c r="R19" s="11">
        <f>7520+33150</f>
        <v>40670</v>
      </c>
      <c r="S19" s="9">
        <v>0</v>
      </c>
      <c r="T19" s="9">
        <v>0</v>
      </c>
      <c r="U19" s="17">
        <v>45355</v>
      </c>
      <c r="V19" s="3"/>
    </row>
    <row r="20" spans="1:23" x14ac:dyDescent="0.3">
      <c r="A20" s="8">
        <v>45769</v>
      </c>
      <c r="B20" s="11">
        <f>10485+20710</f>
        <v>31195</v>
      </c>
      <c r="C20" s="9">
        <f t="shared" si="0"/>
        <v>28359.090909090908</v>
      </c>
      <c r="D20" s="9">
        <f t="shared" si="1"/>
        <v>2835.909090909091</v>
      </c>
      <c r="E20" s="11">
        <f>5890+6320</f>
        <v>12210</v>
      </c>
      <c r="F20" s="9">
        <f t="shared" si="2"/>
        <v>10175</v>
      </c>
      <c r="G20" s="9">
        <f t="shared" si="3"/>
        <v>2035</v>
      </c>
      <c r="H20" s="11">
        <f>400</f>
        <v>400</v>
      </c>
      <c r="I20" s="9">
        <f t="shared" si="4"/>
        <v>363.63636363636363</v>
      </c>
      <c r="J20" s="9">
        <f t="shared" si="5"/>
        <v>36.363636363636367</v>
      </c>
      <c r="K20" s="11">
        <f>1200+1800</f>
        <v>3000</v>
      </c>
      <c r="L20" s="9">
        <f t="shared" si="6"/>
        <v>2500</v>
      </c>
      <c r="M20" s="9">
        <f t="shared" si="7"/>
        <v>500</v>
      </c>
      <c r="N20" s="9">
        <v>0</v>
      </c>
      <c r="O20" s="9">
        <f t="shared" si="8"/>
        <v>0</v>
      </c>
      <c r="P20" s="9">
        <f t="shared" si="9"/>
        <v>0</v>
      </c>
      <c r="Q20" s="11">
        <f>4345</f>
        <v>4345</v>
      </c>
      <c r="R20" s="11">
        <f>17575+24885</f>
        <v>42460</v>
      </c>
      <c r="S20" s="9">
        <v>0</v>
      </c>
      <c r="T20" s="9">
        <v>0</v>
      </c>
      <c r="U20" s="17">
        <f>3350+39340+9920</f>
        <v>52610</v>
      </c>
      <c r="V20" s="18"/>
    </row>
    <row r="21" spans="1:23" x14ac:dyDescent="0.3">
      <c r="A21" s="8">
        <v>45770</v>
      </c>
      <c r="B21" s="11">
        <f>4025+32120</f>
        <v>36145</v>
      </c>
      <c r="C21" s="9">
        <f t="shared" si="0"/>
        <v>32859.090909090904</v>
      </c>
      <c r="D21" s="9">
        <f t="shared" si="1"/>
        <v>3285.9090909090905</v>
      </c>
      <c r="E21" s="11">
        <f>1250+4025</f>
        <v>5275</v>
      </c>
      <c r="F21" s="9">
        <f t="shared" si="2"/>
        <v>4395.8333333333339</v>
      </c>
      <c r="G21" s="9">
        <f t="shared" si="3"/>
        <v>879.16666666666686</v>
      </c>
      <c r="H21" s="11">
        <f>1370</f>
        <v>1370</v>
      </c>
      <c r="I21" s="9">
        <f t="shared" si="4"/>
        <v>1245.4545454545453</v>
      </c>
      <c r="J21" s="9">
        <f t="shared" si="5"/>
        <v>124.54545454545453</v>
      </c>
      <c r="K21" s="11">
        <f>300+2100</f>
        <v>2400</v>
      </c>
      <c r="L21" s="9">
        <f t="shared" si="6"/>
        <v>2000</v>
      </c>
      <c r="M21" s="9">
        <f t="shared" si="7"/>
        <v>400</v>
      </c>
      <c r="N21" s="9">
        <v>0</v>
      </c>
      <c r="O21" s="9">
        <f t="shared" si="8"/>
        <v>0</v>
      </c>
      <c r="P21" s="9">
        <f t="shared" si="9"/>
        <v>0</v>
      </c>
      <c r="Q21" s="9">
        <f>0</f>
        <v>0</v>
      </c>
      <c r="R21" s="11">
        <f>5575+39615</f>
        <v>45190</v>
      </c>
      <c r="S21" s="9">
        <v>0</v>
      </c>
      <c r="T21" s="9">
        <v>0</v>
      </c>
      <c r="U21" s="17">
        <f>14995+10910</f>
        <v>25905</v>
      </c>
      <c r="V21" s="3"/>
    </row>
    <row r="22" spans="1:23" x14ac:dyDescent="0.3">
      <c r="A22" s="8">
        <v>45771</v>
      </c>
      <c r="B22" s="11">
        <f>3630+32910</f>
        <v>36540</v>
      </c>
      <c r="C22" s="9">
        <f t="shared" si="0"/>
        <v>33218.181818181816</v>
      </c>
      <c r="D22" s="9">
        <f t="shared" si="1"/>
        <v>3321.818181818182</v>
      </c>
      <c r="E22" s="11">
        <f>2175+5500+5975+8295</f>
        <v>21945</v>
      </c>
      <c r="F22" s="9">
        <f t="shared" si="2"/>
        <v>18287.5</v>
      </c>
      <c r="G22" s="9">
        <f t="shared" si="3"/>
        <v>3657.5</v>
      </c>
      <c r="H22" s="11">
        <f>2370</f>
        <v>2370</v>
      </c>
      <c r="I22" s="9">
        <f t="shared" si="4"/>
        <v>2154.5454545454545</v>
      </c>
      <c r="J22" s="9">
        <f t="shared" si="5"/>
        <v>215.45454545454547</v>
      </c>
      <c r="K22" s="11">
        <f>300+400+1400+3000</f>
        <v>5100</v>
      </c>
      <c r="L22" s="9">
        <f t="shared" si="6"/>
        <v>4250</v>
      </c>
      <c r="M22" s="9">
        <f t="shared" si="7"/>
        <v>850</v>
      </c>
      <c r="N22" s="9">
        <v>0</v>
      </c>
      <c r="O22" s="9">
        <f t="shared" si="8"/>
        <v>0</v>
      </c>
      <c r="P22" s="9">
        <f t="shared" si="9"/>
        <v>0</v>
      </c>
      <c r="Q22" s="9">
        <f>0</f>
        <v>0</v>
      </c>
      <c r="R22" s="11">
        <f>6105+5900+7375+46575</f>
        <v>65955</v>
      </c>
      <c r="S22" s="9">
        <v>0</v>
      </c>
      <c r="T22" s="9">
        <v>0</v>
      </c>
      <c r="U22" s="14">
        <v>0</v>
      </c>
      <c r="V22" s="3"/>
    </row>
    <row r="23" spans="1:23" x14ac:dyDescent="0.3">
      <c r="A23" s="8">
        <v>45772</v>
      </c>
      <c r="B23" s="11">
        <f>29356.56+6480+9855</f>
        <v>45691.56</v>
      </c>
      <c r="C23" s="9">
        <f t="shared" si="0"/>
        <v>41537.781818181815</v>
      </c>
      <c r="D23" s="9">
        <f t="shared" si="1"/>
        <v>4153.778181818182</v>
      </c>
      <c r="E23" s="11">
        <f>2650+9838.5+3657.41+3250+9975</f>
        <v>29370.91</v>
      </c>
      <c r="F23" s="9">
        <f t="shared" si="2"/>
        <v>24475.758333333335</v>
      </c>
      <c r="G23" s="9">
        <f t="shared" si="3"/>
        <v>4895.1516666666676</v>
      </c>
      <c r="H23" s="11">
        <f>1200+98.76+85</f>
        <v>1383.76</v>
      </c>
      <c r="I23" s="9">
        <f t="shared" si="4"/>
        <v>1257.9636363636362</v>
      </c>
      <c r="J23" s="9">
        <f t="shared" si="5"/>
        <v>125.79636363636362</v>
      </c>
      <c r="K23" s="11">
        <f>3307.44+893.83+750+2550</f>
        <v>7501.27</v>
      </c>
      <c r="L23" s="9">
        <f t="shared" si="6"/>
        <v>6251.0583333333343</v>
      </c>
      <c r="M23" s="9">
        <f t="shared" si="7"/>
        <v>1250.211666666667</v>
      </c>
      <c r="N23" s="11">
        <v>900</v>
      </c>
      <c r="O23" s="9">
        <f t="shared" si="8"/>
        <v>750</v>
      </c>
      <c r="P23" s="9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v>14635</v>
      </c>
      <c r="T23" s="11">
        <v>10600</v>
      </c>
      <c r="U23" s="17">
        <f>11000+8000+5+10330+6690+8200</f>
        <v>44225</v>
      </c>
      <c r="V23" s="3"/>
    </row>
    <row r="24" spans="1:23" x14ac:dyDescent="0.3">
      <c r="A24" s="8">
        <v>45773</v>
      </c>
      <c r="B24" s="11">
        <f>18790+1050+5200+37600</f>
        <v>62640</v>
      </c>
      <c r="C24" s="9">
        <f t="shared" si="0"/>
        <v>56945.454545454544</v>
      </c>
      <c r="D24" s="9">
        <f t="shared" si="1"/>
        <v>5694.545454545455</v>
      </c>
      <c r="E24" s="11">
        <f>16620+17725+19075+1650+14460</f>
        <v>69530</v>
      </c>
      <c r="F24" s="9">
        <f t="shared" si="2"/>
        <v>57941.666666666672</v>
      </c>
      <c r="G24" s="9">
        <f t="shared" si="3"/>
        <v>11588.333333333336</v>
      </c>
      <c r="H24" s="11">
        <f>615+490+310+430+1420</f>
        <v>3265</v>
      </c>
      <c r="I24" s="9">
        <f t="shared" si="4"/>
        <v>2968.181818181818</v>
      </c>
      <c r="J24" s="9">
        <f t="shared" si="5"/>
        <v>296.81818181818181</v>
      </c>
      <c r="K24" s="11">
        <f>2900+4400+2550+650+5300</f>
        <v>15800</v>
      </c>
      <c r="L24" s="9">
        <f t="shared" si="6"/>
        <v>13166.666666666668</v>
      </c>
      <c r="M24" s="9">
        <f t="shared" si="7"/>
        <v>2633.3333333333339</v>
      </c>
      <c r="N24" s="11">
        <f>485+1930</f>
        <v>2415</v>
      </c>
      <c r="O24" s="9">
        <f t="shared" si="8"/>
        <v>2012.5</v>
      </c>
      <c r="P24" s="9">
        <f t="shared" si="9"/>
        <v>402.5</v>
      </c>
      <c r="Q24" s="11">
        <f>8225</f>
        <v>8225</v>
      </c>
      <c r="R24" s="11">
        <f>39410+23665+13710+7930+60710</f>
        <v>145425</v>
      </c>
      <c r="S24" s="9">
        <v>0</v>
      </c>
      <c r="T24" s="9"/>
      <c r="U24" s="17">
        <f>25125+10400+28930+26880</f>
        <v>91335</v>
      </c>
      <c r="V24" s="3"/>
    </row>
    <row r="25" spans="1:23" x14ac:dyDescent="0.3">
      <c r="A25" s="8">
        <v>45774</v>
      </c>
      <c r="B25" s="11">
        <f>24420+22310</f>
        <v>46730</v>
      </c>
      <c r="C25" s="9">
        <f t="shared" si="0"/>
        <v>42481.818181818177</v>
      </c>
      <c r="D25" s="9">
        <f t="shared" si="1"/>
        <v>4248.181818181818</v>
      </c>
      <c r="E25" s="11">
        <f>7100+2390</f>
        <v>9490</v>
      </c>
      <c r="F25" s="9">
        <f t="shared" si="2"/>
        <v>7908.3333333333339</v>
      </c>
      <c r="G25" s="9">
        <f t="shared" si="3"/>
        <v>1581.666666666667</v>
      </c>
      <c r="H25" s="11">
        <f>2735+1170</f>
        <v>3905</v>
      </c>
      <c r="I25" s="9">
        <f t="shared" si="4"/>
        <v>3549.9999999999995</v>
      </c>
      <c r="J25" s="9">
        <f t="shared" si="5"/>
        <v>355</v>
      </c>
      <c r="K25" s="11">
        <f>3900+900</f>
        <v>4800</v>
      </c>
      <c r="L25" s="9">
        <f t="shared" si="6"/>
        <v>4000</v>
      </c>
      <c r="M25" s="9">
        <f t="shared" si="7"/>
        <v>800</v>
      </c>
      <c r="N25" s="11">
        <f>955+1475</f>
        <v>2430</v>
      </c>
      <c r="O25" s="9">
        <f t="shared" si="8"/>
        <v>2025</v>
      </c>
      <c r="P25" s="9">
        <f t="shared" si="9"/>
        <v>405</v>
      </c>
      <c r="Q25" s="11">
        <v>3580</v>
      </c>
      <c r="R25" s="11">
        <f>39110+24665</f>
        <v>63775</v>
      </c>
      <c r="S25" s="9">
        <v>0</v>
      </c>
      <c r="T25" s="9">
        <v>0</v>
      </c>
      <c r="U25" s="14">
        <v>0</v>
      </c>
      <c r="V25" s="3"/>
    </row>
    <row r="26" spans="1:23" x14ac:dyDescent="0.3">
      <c r="A26" s="8">
        <v>45776</v>
      </c>
      <c r="B26" s="11">
        <f>250+25995</f>
        <v>26245</v>
      </c>
      <c r="C26" s="9">
        <f t="shared" ref="C26" si="10">B26/1.1</f>
        <v>23859.090909090908</v>
      </c>
      <c r="D26" s="9">
        <f t="shared" ref="D26" si="11">C26*0.1</f>
        <v>2385.909090909091</v>
      </c>
      <c r="E26" s="11">
        <f>3000+5740</f>
        <v>8740</v>
      </c>
      <c r="F26" s="9">
        <f t="shared" ref="F26" si="12">E26/1.2</f>
        <v>7283.3333333333339</v>
      </c>
      <c r="G26" s="9">
        <f t="shared" ref="G26" si="13">F26*0.2</f>
        <v>1456.666666666667</v>
      </c>
      <c r="H26" s="11">
        <f>2550+3960</f>
        <v>6510</v>
      </c>
      <c r="I26" s="9">
        <f t="shared" ref="I26" si="14">H26/1.1</f>
        <v>5918.181818181818</v>
      </c>
      <c r="J26" s="9">
        <f t="shared" ref="J26" si="15">I26*0.1</f>
        <v>591.81818181818187</v>
      </c>
      <c r="K26" s="11">
        <f>2200+3800</f>
        <v>6000</v>
      </c>
      <c r="L26" s="9">
        <f t="shared" ref="L26" si="16">K26/1.2</f>
        <v>5000</v>
      </c>
      <c r="M26" s="9">
        <f t="shared" ref="M26" si="17">L26*0.2</f>
        <v>1000</v>
      </c>
      <c r="N26" s="9">
        <v>0</v>
      </c>
      <c r="O26" s="9">
        <f t="shared" ref="O26" si="18">N26/1.2</f>
        <v>0</v>
      </c>
      <c r="P26" s="9">
        <f t="shared" ref="P26" si="19">O26*0.2</f>
        <v>0</v>
      </c>
      <c r="Q26" s="11">
        <v>833</v>
      </c>
      <c r="R26" s="11">
        <f>7167+80230-44975</f>
        <v>42422</v>
      </c>
      <c r="S26" s="11">
        <v>4240</v>
      </c>
      <c r="T26" s="9">
        <v>0</v>
      </c>
      <c r="U26" s="17">
        <v>44975</v>
      </c>
      <c r="V26" s="3"/>
    </row>
    <row r="27" spans="1:23" x14ac:dyDescent="0.3">
      <c r="A27" s="8">
        <v>45777</v>
      </c>
      <c r="B27" s="11">
        <f>13340+32925</f>
        <v>46265</v>
      </c>
      <c r="C27" s="9">
        <f t="shared" si="0"/>
        <v>42059.090909090904</v>
      </c>
      <c r="D27" s="9">
        <f t="shared" si="1"/>
        <v>4205.909090909091</v>
      </c>
      <c r="E27" s="11">
        <f>13425+8980</f>
        <v>22405</v>
      </c>
      <c r="F27" s="9">
        <f t="shared" si="2"/>
        <v>18670.833333333336</v>
      </c>
      <c r="G27" s="9">
        <f t="shared" si="3"/>
        <v>3734.1666666666674</v>
      </c>
      <c r="H27" s="11">
        <f>1980+1670</f>
        <v>3650</v>
      </c>
      <c r="I27" s="9">
        <f t="shared" si="4"/>
        <v>3318.181818181818</v>
      </c>
      <c r="J27" s="9">
        <f t="shared" si="5"/>
        <v>331.81818181818181</v>
      </c>
      <c r="K27" s="11">
        <f>1600+3800</f>
        <v>5400</v>
      </c>
      <c r="L27" s="9">
        <f>K27/1.2</f>
        <v>4500</v>
      </c>
      <c r="M27" s="9">
        <f t="shared" si="7"/>
        <v>900</v>
      </c>
      <c r="N27" s="11">
        <v>1200</v>
      </c>
      <c r="O27" s="9">
        <f t="shared" si="8"/>
        <v>1000</v>
      </c>
      <c r="P27" s="9">
        <f t="shared" si="9"/>
        <v>200</v>
      </c>
      <c r="Q27" s="9">
        <f>0</f>
        <v>0</v>
      </c>
      <c r="R27" s="11">
        <f>25995+156925-115230</f>
        <v>67690</v>
      </c>
      <c r="S27" s="11">
        <f>4350+6880</f>
        <v>11230</v>
      </c>
      <c r="T27" s="9">
        <v>0</v>
      </c>
      <c r="U27" s="17">
        <v>115230</v>
      </c>
      <c r="V27" s="3"/>
    </row>
    <row r="28" spans="1:23" x14ac:dyDescent="0.3">
      <c r="B28" s="6">
        <f>SUM(B3:B27)</f>
        <v>950506.64999999991</v>
      </c>
      <c r="C28" s="10">
        <f>B28/1.1</f>
        <v>864096.95454545435</v>
      </c>
      <c r="D28" s="10">
        <f t="shared" ref="D28" si="20">C28*10/100</f>
        <v>86409.695454545435</v>
      </c>
      <c r="E28" s="6">
        <f>SUM(E3:E27)</f>
        <v>508222.29</v>
      </c>
      <c r="F28" s="10">
        <f t="shared" si="2"/>
        <v>423518.57500000001</v>
      </c>
      <c r="G28" s="10">
        <f t="shared" ref="G28" si="21">F28*20/100</f>
        <v>84703.714999999997</v>
      </c>
      <c r="H28" s="6">
        <f>SUM(H3:H27)</f>
        <v>63899.880000000005</v>
      </c>
      <c r="I28" s="10">
        <f t="shared" si="4"/>
        <v>58090.8</v>
      </c>
      <c r="J28" s="10">
        <f t="shared" ref="J28" si="22">I28*10/100</f>
        <v>5809.08</v>
      </c>
      <c r="K28" s="6">
        <f>SUM(K3:K27)</f>
        <v>126178.68000000001</v>
      </c>
      <c r="L28" s="10">
        <f t="shared" si="6"/>
        <v>105148.90000000001</v>
      </c>
      <c r="M28" s="10">
        <f t="shared" ref="M28" si="23">L28*20/100</f>
        <v>21029.78</v>
      </c>
      <c r="N28" s="6">
        <f>SUM(N3:N27)</f>
        <v>16860</v>
      </c>
      <c r="O28" s="10">
        <f t="shared" si="8"/>
        <v>14050</v>
      </c>
      <c r="P28" s="10">
        <f t="shared" ref="P28" si="24">O28*20/100</f>
        <v>2810</v>
      </c>
      <c r="Q28" s="6">
        <f>SUM(Q3:Q27)</f>
        <v>70698</v>
      </c>
      <c r="R28" s="6">
        <f t="shared" ref="R28:U28" si="25">SUM(R3:R27)</f>
        <v>1537114.5</v>
      </c>
      <c r="S28" s="6">
        <f t="shared" si="25"/>
        <v>56235</v>
      </c>
      <c r="T28" s="6">
        <f t="shared" si="25"/>
        <v>24150</v>
      </c>
      <c r="U28" s="6">
        <f t="shared" si="25"/>
        <v>1112965.4100000001</v>
      </c>
      <c r="V28" s="3"/>
    </row>
    <row r="29" spans="1:23" x14ac:dyDescent="0.3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3" x14ac:dyDescent="0.3">
      <c r="A30" s="4" t="s">
        <v>42</v>
      </c>
      <c r="B30" s="11">
        <v>13340</v>
      </c>
      <c r="C30" s="9">
        <f t="shared" ref="C30" si="26">B30/1.1</f>
        <v>12127.272727272726</v>
      </c>
      <c r="D30" s="9">
        <f t="shared" ref="D30" si="27">C30*0.1</f>
        <v>1212.7272727272727</v>
      </c>
      <c r="E30" s="11">
        <v>13415</v>
      </c>
      <c r="F30" s="9">
        <f t="shared" ref="F30" si="28">E30/1.2</f>
        <v>11179.166666666668</v>
      </c>
      <c r="G30" s="9">
        <f t="shared" ref="G30" si="29">F30*0.2</f>
        <v>2235.8333333333335</v>
      </c>
      <c r="H30" s="11">
        <v>1980</v>
      </c>
      <c r="I30" s="9">
        <f t="shared" ref="I30" si="30">H30/1.1</f>
        <v>1799.9999999999998</v>
      </c>
      <c r="J30" s="9">
        <f t="shared" ref="J30" si="31">I30*0.1</f>
        <v>180</v>
      </c>
      <c r="K30" s="11">
        <v>1600</v>
      </c>
      <c r="L30" s="9">
        <f>K30/1.2</f>
        <v>1333.3333333333335</v>
      </c>
      <c r="M30" s="9">
        <f t="shared" ref="M30" si="32">L30*0.2</f>
        <v>266.66666666666669</v>
      </c>
      <c r="N30" s="11"/>
      <c r="O30" s="9">
        <f t="shared" ref="O30" si="33">N30/1.2</f>
        <v>0</v>
      </c>
      <c r="P30" s="9">
        <f t="shared" ref="P30" si="34">O30*0.2</f>
        <v>0</v>
      </c>
      <c r="Q30" s="9">
        <f>0</f>
        <v>0</v>
      </c>
      <c r="R30" s="11">
        <v>25995</v>
      </c>
      <c r="S30" s="11">
        <v>4350</v>
      </c>
      <c r="T30" s="9">
        <v>0</v>
      </c>
      <c r="U30" s="17"/>
    </row>
    <row r="31" spans="1:23" x14ac:dyDescent="0.3">
      <c r="Q31" s="5">
        <f>+Q28+Q30</f>
        <v>70698</v>
      </c>
      <c r="R31" s="5">
        <f t="shared" ref="R31:U31" si="35">+R28+R30</f>
        <v>1563109.5</v>
      </c>
      <c r="S31" s="5">
        <f t="shared" si="35"/>
        <v>60585</v>
      </c>
      <c r="T31" s="5">
        <f t="shared" si="35"/>
        <v>24150</v>
      </c>
      <c r="U31" s="5">
        <f t="shared" si="35"/>
        <v>1112965.4100000001</v>
      </c>
    </row>
  </sheetData>
  <mergeCells count="1">
    <mergeCell ref="T1:U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workbookViewId="0">
      <selection activeCell="F16" sqref="F16"/>
    </sheetView>
  </sheetViews>
  <sheetFormatPr defaultRowHeight="14.4" x14ac:dyDescent="0.3"/>
  <cols>
    <col min="1" max="1" width="16.44140625" customWidth="1"/>
    <col min="2" max="2" width="24.33203125" style="31" customWidth="1"/>
    <col min="3" max="3" width="16.33203125" customWidth="1"/>
    <col min="4" max="4" width="14.6640625" customWidth="1"/>
    <col min="5" max="7" width="15.6640625" customWidth="1"/>
    <col min="8" max="8" width="11.88671875" customWidth="1"/>
    <col min="9" max="9" width="14.5546875" customWidth="1"/>
    <col min="10" max="10" width="15.109375" customWidth="1"/>
    <col min="11" max="11" width="12.88671875" bestFit="1" customWidth="1"/>
    <col min="12" max="12" width="13" customWidth="1"/>
    <col min="13" max="13" width="12.88671875" bestFit="1" customWidth="1"/>
    <col min="14" max="14" width="9.33203125" bestFit="1" customWidth="1"/>
  </cols>
  <sheetData>
    <row r="1" spans="1:13" ht="15" thickBot="1" x14ac:dyDescent="0.35">
      <c r="A1" s="27" t="s">
        <v>24</v>
      </c>
      <c r="B1" s="29">
        <v>441935.41</v>
      </c>
      <c r="D1" s="1" t="s">
        <v>6</v>
      </c>
      <c r="E1" s="1" t="s">
        <v>7</v>
      </c>
      <c r="F1" s="1" t="s">
        <v>19</v>
      </c>
      <c r="G1" s="138" t="s">
        <v>8</v>
      </c>
      <c r="H1" s="139"/>
      <c r="K1" t="s">
        <v>43</v>
      </c>
    </row>
    <row r="2" spans="1:13" ht="15" thickBot="1" x14ac:dyDescent="0.35">
      <c r="A2" s="27" t="s">
        <v>25</v>
      </c>
      <c r="B2" s="29">
        <v>1076020</v>
      </c>
      <c r="D2" s="12"/>
      <c r="E2" s="12"/>
      <c r="F2" s="12"/>
      <c r="G2" s="12" t="s">
        <v>6</v>
      </c>
      <c r="H2" s="13" t="s">
        <v>9</v>
      </c>
    </row>
    <row r="3" spans="1:13" ht="15" thickBot="1" x14ac:dyDescent="0.35">
      <c r="A3" s="27" t="s">
        <v>26</v>
      </c>
      <c r="B3" s="29">
        <v>1588349.5</v>
      </c>
      <c r="D3" s="5">
        <v>70698</v>
      </c>
      <c r="E3" s="5">
        <v>1537114.5</v>
      </c>
      <c r="F3" s="5">
        <v>56235</v>
      </c>
      <c r="G3" s="5">
        <v>24150</v>
      </c>
      <c r="H3" s="5">
        <v>1112965.4100000001</v>
      </c>
      <c r="I3" s="5">
        <f>SUM(D3:H3)</f>
        <v>2801162.91</v>
      </c>
      <c r="J3" s="32">
        <f>+SUM(B17:C18)</f>
        <v>2770817.91</v>
      </c>
      <c r="K3" s="32">
        <f>+I3-J3</f>
        <v>30345</v>
      </c>
    </row>
    <row r="4" spans="1:13" ht="15" thickBot="1" x14ac:dyDescent="0.35">
      <c r="A4" s="27" t="s">
        <v>27</v>
      </c>
      <c r="B4" s="29">
        <v>24150</v>
      </c>
    </row>
    <row r="5" spans="1:13" ht="15" thickBot="1" x14ac:dyDescent="0.35">
      <c r="A5" s="27" t="s">
        <v>28</v>
      </c>
      <c r="B5" s="29">
        <v>70698</v>
      </c>
    </row>
    <row r="6" spans="1:13" ht="15" thickBot="1" x14ac:dyDescent="0.35">
      <c r="A6" s="27" t="s">
        <v>29</v>
      </c>
      <c r="B6" s="29">
        <v>0</v>
      </c>
      <c r="H6" s="138" t="s">
        <v>8</v>
      </c>
      <c r="I6" s="139"/>
    </row>
    <row r="7" spans="1:13" ht="15" thickBot="1" x14ac:dyDescent="0.35">
      <c r="A7" s="27" t="s">
        <v>30</v>
      </c>
      <c r="B7" s="29">
        <v>0</v>
      </c>
      <c r="D7" s="1" t="s">
        <v>6</v>
      </c>
      <c r="E7" s="1" t="s">
        <v>7</v>
      </c>
      <c r="F7" s="1"/>
      <c r="G7" s="1"/>
      <c r="H7" s="12" t="s">
        <v>6</v>
      </c>
      <c r="I7" s="13" t="s">
        <v>9</v>
      </c>
      <c r="J7" t="s">
        <v>34</v>
      </c>
      <c r="K7" s="5">
        <f>+K9-H8-I8</f>
        <v>404989.99999999977</v>
      </c>
    </row>
    <row r="8" spans="1:13" ht="15" thickBot="1" x14ac:dyDescent="0.35">
      <c r="A8" s="28" t="s">
        <v>31</v>
      </c>
      <c r="B8" s="30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6">
        <v>24150</v>
      </c>
      <c r="I8" s="6">
        <v>1112965.4100000001</v>
      </c>
      <c r="K8" t="s">
        <v>41</v>
      </c>
      <c r="L8" t="s">
        <v>40</v>
      </c>
    </row>
    <row r="9" spans="1:13" x14ac:dyDescent="0.3">
      <c r="B9" s="31">
        <f>SUM(B1:B8)</f>
        <v>3201152.91</v>
      </c>
      <c r="C9" t="s">
        <v>32</v>
      </c>
      <c r="D9" s="32">
        <f>+B4+B5</f>
        <v>94848</v>
      </c>
      <c r="E9" s="32">
        <f>+B2+B3</f>
        <v>2664369.5</v>
      </c>
      <c r="F9" s="32">
        <f>+B1</f>
        <v>441935.41</v>
      </c>
      <c r="G9" s="32"/>
      <c r="H9" s="32">
        <f>+B4</f>
        <v>24150</v>
      </c>
      <c r="I9" s="32">
        <f>+B2</f>
        <v>1076020</v>
      </c>
      <c r="J9" s="32">
        <f>+B1</f>
        <v>441935.41</v>
      </c>
      <c r="K9" s="32">
        <f>+B2+B4+B1</f>
        <v>1542105.41</v>
      </c>
      <c r="L9" s="5">
        <f>+[1]çalışma!$L$78</f>
        <v>1542410.4100000001</v>
      </c>
      <c r="M9" s="32">
        <f>+K9-L9</f>
        <v>-305.00000000023283</v>
      </c>
    </row>
    <row r="10" spans="1:13" x14ac:dyDescent="0.3">
      <c r="D10" s="32">
        <f>+D8-D9</f>
        <v>0</v>
      </c>
      <c r="E10" s="32">
        <f>+E8-E9</f>
        <v>41945.410000000149</v>
      </c>
      <c r="F10" s="32"/>
      <c r="G10" s="32"/>
      <c r="H10" s="32"/>
      <c r="I10" s="32"/>
    </row>
    <row r="11" spans="1:13" x14ac:dyDescent="0.3">
      <c r="H11" t="s">
        <v>39</v>
      </c>
      <c r="I11" s="32">
        <f>6835+6665+9645+7200</f>
        <v>30345</v>
      </c>
    </row>
    <row r="12" spans="1:13" x14ac:dyDescent="0.3">
      <c r="I12" s="32"/>
      <c r="L12" s="5"/>
    </row>
    <row r="13" spans="1:13" x14ac:dyDescent="0.3">
      <c r="L13" s="5"/>
    </row>
    <row r="14" spans="1:13" x14ac:dyDescent="0.3">
      <c r="I14" s="32"/>
      <c r="L14" s="31"/>
    </row>
    <row r="15" spans="1:13" x14ac:dyDescent="0.3">
      <c r="I15" s="32"/>
    </row>
    <row r="16" spans="1:13" x14ac:dyDescent="0.3">
      <c r="A16" s="35" t="s">
        <v>38</v>
      </c>
      <c r="B16" s="34"/>
      <c r="C16" s="34"/>
    </row>
    <row r="17" spans="1:11" x14ac:dyDescent="0.3">
      <c r="A17" s="5" t="s">
        <v>36</v>
      </c>
      <c r="B17" s="33">
        <v>54383</v>
      </c>
      <c r="C17" s="33">
        <v>40465</v>
      </c>
      <c r="D17" s="32">
        <f>+B17+C17</f>
        <v>94848</v>
      </c>
      <c r="K17" s="31"/>
    </row>
    <row r="18" spans="1:11" x14ac:dyDescent="0.3">
      <c r="A18" t="s">
        <v>35</v>
      </c>
      <c r="B18" s="33">
        <v>1075089.5</v>
      </c>
      <c r="C18" s="33">
        <v>1600880.41</v>
      </c>
      <c r="D18" s="32">
        <f>+B18+C18</f>
        <v>2675969.91</v>
      </c>
      <c r="H18" s="5"/>
      <c r="I18" s="5"/>
      <c r="J18" s="32"/>
    </row>
    <row r="19" spans="1:11" x14ac:dyDescent="0.3">
      <c r="B19" s="33"/>
      <c r="C19" s="33"/>
      <c r="H19" s="5"/>
      <c r="J19" s="32"/>
    </row>
    <row r="20" spans="1:11" x14ac:dyDescent="0.3">
      <c r="A20" s="35" t="s">
        <v>37</v>
      </c>
      <c r="B20" s="34"/>
      <c r="C20" s="34"/>
      <c r="H20" s="5"/>
      <c r="I20" s="32"/>
    </row>
    <row r="21" spans="1:11" x14ac:dyDescent="0.3">
      <c r="A21" s="5" t="s">
        <v>36</v>
      </c>
      <c r="B21" s="33">
        <v>118049</v>
      </c>
      <c r="C21" s="33"/>
    </row>
    <row r="22" spans="1:11" x14ac:dyDescent="0.3">
      <c r="A22" t="s">
        <v>35</v>
      </c>
      <c r="B22" s="33">
        <v>564101</v>
      </c>
      <c r="C22" s="33"/>
      <c r="H22" s="5"/>
    </row>
    <row r="23" spans="1:11" x14ac:dyDescent="0.3">
      <c r="B23" s="33"/>
      <c r="C23" s="33"/>
    </row>
    <row r="24" spans="1:11" x14ac:dyDescent="0.3">
      <c r="B24" s="33"/>
      <c r="C24" s="33"/>
      <c r="H24" s="32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zoomScaleNormal="100" workbookViewId="0">
      <selection activeCell="A30" sqref="A30:XFD3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38" t="s">
        <v>8</v>
      </c>
      <c r="U1" s="139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45778</v>
      </c>
      <c r="B3" s="11">
        <f>995+5700+36845</f>
        <v>43540</v>
      </c>
      <c r="C3" s="9">
        <f>B3/1.1</f>
        <v>39581.818181818177</v>
      </c>
      <c r="D3" s="9">
        <f>C3*0.1</f>
        <v>3958.181818181818</v>
      </c>
      <c r="E3" s="11">
        <f>1200+3250+12495</f>
        <v>16945</v>
      </c>
      <c r="F3" s="9">
        <f>E3/1.2</f>
        <v>14120.833333333334</v>
      </c>
      <c r="G3" s="9">
        <f>F3*0.2</f>
        <v>2824.166666666667</v>
      </c>
      <c r="H3" s="11">
        <f>850+2440</f>
        <v>3290</v>
      </c>
      <c r="I3" s="9">
        <f>H3/1.1</f>
        <v>2990.9090909090905</v>
      </c>
      <c r="J3" s="9">
        <f>I3*0.1</f>
        <v>299.09090909090907</v>
      </c>
      <c r="K3" s="11">
        <f>800+400+4400</f>
        <v>5600</v>
      </c>
      <c r="L3" s="9">
        <f>K3/1.2</f>
        <v>4666.666666666667</v>
      </c>
      <c r="M3" s="9">
        <f>L3*0.2</f>
        <v>933.33333333333348</v>
      </c>
      <c r="N3" s="9">
        <v>0</v>
      </c>
      <c r="O3" s="9">
        <f>N3/1.2</f>
        <v>0</v>
      </c>
      <c r="P3" s="9">
        <f>O3*0.2</f>
        <v>0</v>
      </c>
      <c r="Q3" s="9">
        <f>0</f>
        <v>0</v>
      </c>
      <c r="R3" s="11">
        <f>3845+9350+56180</f>
        <v>69375</v>
      </c>
      <c r="S3" s="9">
        <v>0</v>
      </c>
      <c r="T3" s="9">
        <v>0</v>
      </c>
      <c r="U3" s="17">
        <v>6355</v>
      </c>
      <c r="V3" s="3"/>
    </row>
    <row r="4" spans="1:22" x14ac:dyDescent="0.3">
      <c r="A4" s="8">
        <v>45779</v>
      </c>
      <c r="B4" s="11">
        <f>39340+6845+10995+450</f>
        <v>57630</v>
      </c>
      <c r="C4" s="9">
        <f t="shared" ref="C4:C29" si="0">B4/1.1</f>
        <v>52390.909090909088</v>
      </c>
      <c r="D4" s="9">
        <f t="shared" ref="D4:D29" si="1">C4*0.1</f>
        <v>5239.090909090909</v>
      </c>
      <c r="E4" s="11">
        <f>4045+4100+9900+11650+15175</f>
        <v>44870</v>
      </c>
      <c r="F4" s="9">
        <f t="shared" ref="F4:F29" si="2">E4/1.2</f>
        <v>37391.666666666672</v>
      </c>
      <c r="G4" s="9">
        <f t="shared" ref="G4:G29" si="3">F4*0.2</f>
        <v>7478.3333333333348</v>
      </c>
      <c r="H4" s="11">
        <f>1885+90+180+220+840</f>
        <v>3215</v>
      </c>
      <c r="I4" s="9">
        <f t="shared" ref="I4:I29" si="4">H4/1.1</f>
        <v>2922.7272727272725</v>
      </c>
      <c r="J4" s="9">
        <f t="shared" ref="J4:J29" si="5">I4*0.1</f>
        <v>292.27272727272725</v>
      </c>
      <c r="K4" s="11">
        <f>3800+800+3000+3000+2200</f>
        <v>12800</v>
      </c>
      <c r="L4" s="9">
        <f t="shared" ref="L4:L29" si="6">K4/1.2</f>
        <v>10666.666666666668</v>
      </c>
      <c r="M4" s="9">
        <f t="shared" ref="M4:M29" si="7">L4*0.2</f>
        <v>2133.3333333333335</v>
      </c>
      <c r="N4" s="11">
        <f>520+575</f>
        <v>1095</v>
      </c>
      <c r="O4" s="9">
        <f t="shared" ref="O4:O29" si="8">N4/1.2</f>
        <v>912.5</v>
      </c>
      <c r="P4" s="9">
        <f t="shared" ref="P4:P29" si="9">O4*0.2</f>
        <v>182.5</v>
      </c>
      <c r="Q4" s="9">
        <v>0</v>
      </c>
      <c r="R4" s="11">
        <f>49590+12410+24075-1200+15320+18215</f>
        <v>118410</v>
      </c>
      <c r="S4" s="11">
        <v>1200</v>
      </c>
      <c r="T4" s="9">
        <v>0</v>
      </c>
      <c r="U4" s="17">
        <f>64035+17720</f>
        <v>81755</v>
      </c>
      <c r="V4" s="3"/>
    </row>
    <row r="5" spans="1:22" x14ac:dyDescent="0.3">
      <c r="A5" s="8">
        <v>45780</v>
      </c>
      <c r="B5" s="11">
        <f>49625+5720+18555+8195+3085</f>
        <v>85180</v>
      </c>
      <c r="C5" s="9">
        <f t="shared" si="0"/>
        <v>77436.363636363632</v>
      </c>
      <c r="D5" s="9">
        <f t="shared" si="1"/>
        <v>7743.636363636364</v>
      </c>
      <c r="E5" s="11">
        <f>18020+13025+9335+6175+6600</f>
        <v>53155</v>
      </c>
      <c r="F5" s="9">
        <f t="shared" si="2"/>
        <v>44295.833333333336</v>
      </c>
      <c r="G5" s="9">
        <f t="shared" si="3"/>
        <v>8859.1666666666679</v>
      </c>
      <c r="H5" s="11">
        <f>1660+1685+1255+700</f>
        <v>5300</v>
      </c>
      <c r="I5" s="9">
        <f t="shared" si="4"/>
        <v>4818.181818181818</v>
      </c>
      <c r="J5" s="9">
        <f t="shared" si="5"/>
        <v>481.81818181818181</v>
      </c>
      <c r="K5" s="11">
        <f>6400+4400+2000+1200+2200</f>
        <v>16200</v>
      </c>
      <c r="L5" s="9">
        <f t="shared" si="6"/>
        <v>13500</v>
      </c>
      <c r="M5" s="9">
        <f t="shared" si="7"/>
        <v>2700</v>
      </c>
      <c r="N5" s="11">
        <f>1425+275</f>
        <v>1700</v>
      </c>
      <c r="O5" s="9">
        <f t="shared" si="8"/>
        <v>1416.6666666666667</v>
      </c>
      <c r="P5" s="9">
        <f t="shared" si="9"/>
        <v>283.33333333333337</v>
      </c>
      <c r="Q5" s="11">
        <f>3900+3400+425+1250</f>
        <v>8975</v>
      </c>
      <c r="R5" s="11">
        <f>73230-5200+21430+30720-6240+14320+12860</f>
        <v>141120</v>
      </c>
      <c r="S5" s="11">
        <f>5200+6240</f>
        <v>11440</v>
      </c>
      <c r="T5" s="9">
        <v>0</v>
      </c>
      <c r="U5" s="17">
        <f>8030+24570+19425</f>
        <v>52025</v>
      </c>
      <c r="V5" s="3"/>
    </row>
    <row r="6" spans="1:22" x14ac:dyDescent="0.3">
      <c r="A6" s="8">
        <v>45781</v>
      </c>
      <c r="B6" s="11">
        <v>23625</v>
      </c>
      <c r="C6" s="9">
        <f t="shared" si="0"/>
        <v>21477.272727272724</v>
      </c>
      <c r="D6" s="9">
        <f t="shared" si="1"/>
        <v>2147.7272727272725</v>
      </c>
      <c r="E6" s="11">
        <v>6825</v>
      </c>
      <c r="F6" s="9">
        <f t="shared" si="2"/>
        <v>5687.5</v>
      </c>
      <c r="G6" s="9">
        <f t="shared" si="3"/>
        <v>1137.5</v>
      </c>
      <c r="H6" s="11">
        <v>1700</v>
      </c>
      <c r="I6" s="9">
        <f t="shared" si="4"/>
        <v>1545.4545454545453</v>
      </c>
      <c r="J6" s="9">
        <f t="shared" si="5"/>
        <v>154.54545454545453</v>
      </c>
      <c r="K6" s="11">
        <v>2800</v>
      </c>
      <c r="L6" s="9">
        <f t="shared" si="6"/>
        <v>2333.3333333333335</v>
      </c>
      <c r="M6" s="9">
        <f t="shared" si="7"/>
        <v>466.66666666666674</v>
      </c>
      <c r="N6" s="9">
        <v>0</v>
      </c>
      <c r="O6" s="9">
        <f t="shared" si="8"/>
        <v>0</v>
      </c>
      <c r="P6" s="9">
        <f t="shared" si="9"/>
        <v>0</v>
      </c>
      <c r="Q6" s="9">
        <v>0</v>
      </c>
      <c r="R6" s="11">
        <v>34950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45783</v>
      </c>
      <c r="B7" s="11">
        <f>7860+45210</f>
        <v>53070</v>
      </c>
      <c r="C7" s="9">
        <f t="shared" si="0"/>
        <v>48245.454545454544</v>
      </c>
      <c r="D7" s="9">
        <f t="shared" si="1"/>
        <v>4824.545454545455</v>
      </c>
      <c r="E7" s="11">
        <f>4300+15390</f>
        <v>19690</v>
      </c>
      <c r="F7" s="9">
        <f t="shared" si="2"/>
        <v>16408.333333333336</v>
      </c>
      <c r="G7" s="9">
        <f t="shared" si="3"/>
        <v>3281.6666666666674</v>
      </c>
      <c r="H7" s="11">
        <f>1155+1080</f>
        <v>2235</v>
      </c>
      <c r="I7" s="9">
        <f t="shared" si="4"/>
        <v>2031.8181818181818</v>
      </c>
      <c r="J7" s="9">
        <f t="shared" si="5"/>
        <v>203.18181818181819</v>
      </c>
      <c r="K7" s="11">
        <f>1000+800+5200</f>
        <v>7000</v>
      </c>
      <c r="L7" s="9">
        <f t="shared" si="6"/>
        <v>5833.3333333333339</v>
      </c>
      <c r="M7" s="9">
        <f t="shared" si="7"/>
        <v>1166.6666666666667</v>
      </c>
      <c r="N7" s="11">
        <v>400</v>
      </c>
      <c r="O7" s="9">
        <f t="shared" si="8"/>
        <v>333.33333333333337</v>
      </c>
      <c r="P7" s="9">
        <f t="shared" si="9"/>
        <v>66.666666666666671</v>
      </c>
      <c r="Q7" s="11">
        <f>2250+7675</f>
        <v>9925</v>
      </c>
      <c r="R7" s="11">
        <f>10415+59205</f>
        <v>69620</v>
      </c>
      <c r="S7" s="11">
        <v>2850</v>
      </c>
      <c r="T7" s="9">
        <v>0</v>
      </c>
      <c r="U7" s="17">
        <v>6530</v>
      </c>
      <c r="V7" s="3"/>
    </row>
    <row r="8" spans="1:22" x14ac:dyDescent="0.3">
      <c r="A8" s="8">
        <v>45784</v>
      </c>
      <c r="B8" s="11">
        <f>11535+42160</f>
        <v>53695</v>
      </c>
      <c r="C8" s="9">
        <f t="shared" si="0"/>
        <v>48813.63636363636</v>
      </c>
      <c r="D8" s="9">
        <f t="shared" si="1"/>
        <v>4881.363636363636</v>
      </c>
      <c r="E8" s="11">
        <f>3200+10120</f>
        <v>13320</v>
      </c>
      <c r="F8" s="9">
        <f t="shared" si="2"/>
        <v>11100</v>
      </c>
      <c r="G8" s="9">
        <f t="shared" si="3"/>
        <v>2220</v>
      </c>
      <c r="H8" s="11">
        <f>200+1370</f>
        <v>1570</v>
      </c>
      <c r="I8" s="9">
        <f t="shared" si="4"/>
        <v>1427.2727272727273</v>
      </c>
      <c r="J8" s="9">
        <f t="shared" si="5"/>
        <v>142.72727272727272</v>
      </c>
      <c r="K8" s="11">
        <f>1400+4400</f>
        <v>5800</v>
      </c>
      <c r="L8" s="9">
        <f t="shared" si="6"/>
        <v>4833.3333333333339</v>
      </c>
      <c r="M8" s="9">
        <f t="shared" si="7"/>
        <v>966.66666666666686</v>
      </c>
      <c r="N8" s="11">
        <v>550</v>
      </c>
      <c r="O8" s="9">
        <f t="shared" si="8"/>
        <v>458.33333333333337</v>
      </c>
      <c r="P8" s="9">
        <f t="shared" si="9"/>
        <v>91.666666666666686</v>
      </c>
      <c r="Q8" s="9">
        <v>0</v>
      </c>
      <c r="R8" s="11">
        <f>16885-7240+51960</f>
        <v>61605</v>
      </c>
      <c r="S8" s="11">
        <f>7240+6090</f>
        <v>13330</v>
      </c>
      <c r="T8" s="11">
        <v>4000</v>
      </c>
      <c r="U8" s="17">
        <f>7000+46750</f>
        <v>53750</v>
      </c>
      <c r="V8" s="3"/>
    </row>
    <row r="9" spans="1:22" x14ac:dyDescent="0.3">
      <c r="A9" s="8">
        <v>45785</v>
      </c>
      <c r="B9" s="11">
        <f>28145+485</f>
        <v>28630</v>
      </c>
      <c r="C9" s="9">
        <f t="shared" si="0"/>
        <v>26027.272727272724</v>
      </c>
      <c r="D9" s="9">
        <f t="shared" si="1"/>
        <v>2602.7272727272725</v>
      </c>
      <c r="E9" s="11">
        <f>2500+5665+1200</f>
        <v>9365</v>
      </c>
      <c r="F9" s="9">
        <f t="shared" si="2"/>
        <v>7804.166666666667</v>
      </c>
      <c r="G9" s="9">
        <f t="shared" si="3"/>
        <v>1560.8333333333335</v>
      </c>
      <c r="H9" s="11">
        <f>2535</f>
        <v>2535</v>
      </c>
      <c r="I9" s="9">
        <f t="shared" si="4"/>
        <v>2304.5454545454545</v>
      </c>
      <c r="J9" s="9">
        <f t="shared" si="5"/>
        <v>230.45454545454547</v>
      </c>
      <c r="K9" s="11">
        <f>400+3200+400</f>
        <v>4000</v>
      </c>
      <c r="L9" s="9">
        <f t="shared" si="6"/>
        <v>3333.3333333333335</v>
      </c>
      <c r="M9" s="9">
        <f t="shared" si="7"/>
        <v>666.66666666666674</v>
      </c>
      <c r="N9" s="11">
        <v>600</v>
      </c>
      <c r="O9" s="9">
        <f t="shared" si="8"/>
        <v>500</v>
      </c>
      <c r="P9" s="9">
        <f t="shared" si="9"/>
        <v>100</v>
      </c>
      <c r="Q9" s="9">
        <v>0</v>
      </c>
      <c r="R9" s="11">
        <f>3500+39545+2085</f>
        <v>45130</v>
      </c>
      <c r="S9" s="9">
        <v>0</v>
      </c>
      <c r="T9" s="9">
        <v>0</v>
      </c>
      <c r="U9" s="17">
        <f>12100+15925</f>
        <v>28025</v>
      </c>
      <c r="V9" s="3"/>
    </row>
    <row r="10" spans="1:22" x14ac:dyDescent="0.3">
      <c r="A10" s="8">
        <v>45786</v>
      </c>
      <c r="B10" s="11">
        <f>845+485+46845</f>
        <v>48175</v>
      </c>
      <c r="C10" s="9">
        <f t="shared" si="0"/>
        <v>43795.454545454544</v>
      </c>
      <c r="D10" s="9">
        <f t="shared" si="1"/>
        <v>4379.545454545455</v>
      </c>
      <c r="E10" s="11">
        <f>3600+11050+16385</f>
        <v>31035</v>
      </c>
      <c r="F10" s="9">
        <f t="shared" si="2"/>
        <v>25862.5</v>
      </c>
      <c r="G10" s="9">
        <f t="shared" si="3"/>
        <v>5172.5</v>
      </c>
      <c r="H10" s="11">
        <f>1275+2375</f>
        <v>3650</v>
      </c>
      <c r="I10" s="9">
        <f t="shared" si="4"/>
        <v>3318.181818181818</v>
      </c>
      <c r="J10" s="9">
        <f t="shared" si="5"/>
        <v>331.81818181818181</v>
      </c>
      <c r="K10" s="11">
        <f>1200+1400+5600</f>
        <v>8200</v>
      </c>
      <c r="L10" s="9">
        <f t="shared" si="6"/>
        <v>6833.3333333333339</v>
      </c>
      <c r="M10" s="9">
        <f t="shared" si="7"/>
        <v>1366.666666666667</v>
      </c>
      <c r="N10" s="9">
        <v>0</v>
      </c>
      <c r="O10" s="9">
        <f t="shared" si="8"/>
        <v>0</v>
      </c>
      <c r="P10" s="9">
        <f t="shared" si="9"/>
        <v>0</v>
      </c>
      <c r="Q10" s="9">
        <v>0</v>
      </c>
      <c r="R10" s="11">
        <f>5645+14210+71205</f>
        <v>91060</v>
      </c>
      <c r="S10" s="9">
        <v>0</v>
      </c>
      <c r="T10" s="9">
        <v>0</v>
      </c>
      <c r="U10" s="17">
        <f>23235+11075</f>
        <v>34310</v>
      </c>
      <c r="V10" s="3"/>
    </row>
    <row r="11" spans="1:22" x14ac:dyDescent="0.3">
      <c r="A11" s="8">
        <v>45787</v>
      </c>
      <c r="B11" s="11">
        <f>2525+5000+46645+4350</f>
        <v>58520</v>
      </c>
      <c r="C11" s="9">
        <f t="shared" si="0"/>
        <v>53199.999999999993</v>
      </c>
      <c r="D11" s="9">
        <f t="shared" si="1"/>
        <v>5320</v>
      </c>
      <c r="E11" s="11">
        <f>18875+6200+15250+8815+1640</f>
        <v>50780</v>
      </c>
      <c r="F11" s="9">
        <f t="shared" si="2"/>
        <v>42316.666666666672</v>
      </c>
      <c r="G11" s="9">
        <f t="shared" si="3"/>
        <v>8463.3333333333339</v>
      </c>
      <c r="H11" s="11">
        <f>595+850+850+3345+605</f>
        <v>6245</v>
      </c>
      <c r="I11" s="9">
        <f t="shared" si="4"/>
        <v>5677.272727272727</v>
      </c>
      <c r="J11" s="9">
        <f t="shared" si="5"/>
        <v>567.72727272727275</v>
      </c>
      <c r="K11" s="11">
        <f>2800+1400+3200+5000+600</f>
        <v>13000</v>
      </c>
      <c r="L11" s="9">
        <f t="shared" si="6"/>
        <v>10833.333333333334</v>
      </c>
      <c r="M11" s="9">
        <f t="shared" si="7"/>
        <v>2166.666666666667</v>
      </c>
      <c r="N11" s="11">
        <v>650</v>
      </c>
      <c r="O11" s="9">
        <f t="shared" si="8"/>
        <v>541.66666666666674</v>
      </c>
      <c r="P11" s="9">
        <f t="shared" si="9"/>
        <v>108.33333333333336</v>
      </c>
      <c r="Q11" s="11">
        <f>1400+1450</f>
        <v>2850</v>
      </c>
      <c r="R11" s="11">
        <f>20820+10975+13550+64455+7195</f>
        <v>116995</v>
      </c>
      <c r="S11" s="11">
        <f>9350</f>
        <v>9350</v>
      </c>
      <c r="T11" s="19">
        <f>11645+10985</f>
        <v>22630</v>
      </c>
      <c r="U11" s="38">
        <f>10500+17645+35570</f>
        <v>63715</v>
      </c>
      <c r="V11" s="3" t="s">
        <v>44</v>
      </c>
    </row>
    <row r="12" spans="1:22" x14ac:dyDescent="0.3">
      <c r="A12" s="8">
        <v>45788</v>
      </c>
      <c r="B12" s="11">
        <f>10760+99925</f>
        <v>110685</v>
      </c>
      <c r="C12" s="9">
        <f t="shared" si="0"/>
        <v>100622.72727272726</v>
      </c>
      <c r="D12" s="9">
        <f t="shared" si="1"/>
        <v>10062.272727272728</v>
      </c>
      <c r="E12" s="11">
        <f>1125+24106</f>
        <v>25231</v>
      </c>
      <c r="F12" s="9">
        <f t="shared" si="2"/>
        <v>21025.833333333336</v>
      </c>
      <c r="G12" s="9">
        <f t="shared" si="3"/>
        <v>4205.166666666667</v>
      </c>
      <c r="H12" s="11">
        <f>485+6170</f>
        <v>6655</v>
      </c>
      <c r="I12" s="9">
        <f t="shared" si="4"/>
        <v>6049.9999999999991</v>
      </c>
      <c r="J12" s="9">
        <f t="shared" si="5"/>
        <v>604.99999999999989</v>
      </c>
      <c r="K12" s="11">
        <f>400+5400</f>
        <v>5800</v>
      </c>
      <c r="L12" s="9">
        <f t="shared" si="6"/>
        <v>4833.3333333333339</v>
      </c>
      <c r="M12" s="9">
        <f t="shared" si="7"/>
        <v>966.66666666666686</v>
      </c>
      <c r="N12" s="11">
        <v>550</v>
      </c>
      <c r="O12" s="9">
        <f t="shared" si="8"/>
        <v>458.33333333333337</v>
      </c>
      <c r="P12" s="9">
        <f t="shared" si="9"/>
        <v>91.666666666666686</v>
      </c>
      <c r="Q12" s="11">
        <v>8271</v>
      </c>
      <c r="R12" s="11">
        <f>12770+148565-27015</f>
        <v>134320</v>
      </c>
      <c r="S12" s="11">
        <v>6330</v>
      </c>
      <c r="T12" s="9">
        <v>0</v>
      </c>
      <c r="U12" s="17">
        <v>27015</v>
      </c>
      <c r="V12" s="3" t="s">
        <v>45</v>
      </c>
    </row>
    <row r="13" spans="1:22" x14ac:dyDescent="0.3">
      <c r="A13" s="8">
        <v>45790</v>
      </c>
      <c r="B13" s="11">
        <f>3450+29930</f>
        <v>33380</v>
      </c>
      <c r="C13" s="9">
        <f t="shared" si="0"/>
        <v>30345.454545454544</v>
      </c>
      <c r="D13" s="9">
        <f t="shared" si="1"/>
        <v>3034.5454545454545</v>
      </c>
      <c r="E13" s="11">
        <f>1900+10800+11315</f>
        <v>24015</v>
      </c>
      <c r="F13" s="9">
        <f t="shared" si="2"/>
        <v>20012.5</v>
      </c>
      <c r="G13" s="9">
        <f t="shared" si="3"/>
        <v>4002.5</v>
      </c>
      <c r="H13" s="11">
        <f>340+420</f>
        <v>760</v>
      </c>
      <c r="I13" s="9">
        <f t="shared" si="4"/>
        <v>690.90909090909088</v>
      </c>
      <c r="J13" s="9">
        <f t="shared" si="5"/>
        <v>69.090909090909093</v>
      </c>
      <c r="K13" s="11">
        <f>400+1600+3600</f>
        <v>5600</v>
      </c>
      <c r="L13" s="9">
        <f t="shared" si="6"/>
        <v>4666.666666666667</v>
      </c>
      <c r="M13" s="9">
        <f t="shared" si="7"/>
        <v>933.33333333333348</v>
      </c>
      <c r="N13" s="9">
        <v>0</v>
      </c>
      <c r="O13" s="9">
        <f t="shared" si="8"/>
        <v>0</v>
      </c>
      <c r="P13" s="9">
        <f t="shared" si="9"/>
        <v>0</v>
      </c>
      <c r="Q13" s="11">
        <f>450+2800</f>
        <v>3250</v>
      </c>
      <c r="R13" s="11">
        <f>5300+9940+45265</f>
        <v>60505</v>
      </c>
      <c r="S13" s="9">
        <v>0</v>
      </c>
      <c r="T13" s="9">
        <v>0</v>
      </c>
      <c r="U13" s="17">
        <v>20445</v>
      </c>
      <c r="V13" s="3"/>
    </row>
    <row r="14" spans="1:22" x14ac:dyDescent="0.3">
      <c r="A14" s="8">
        <v>45791</v>
      </c>
      <c r="B14" s="11">
        <f>2345+13486.84+42755</f>
        <v>58586.84</v>
      </c>
      <c r="C14" s="9">
        <f t="shared" si="0"/>
        <v>53260.763636363627</v>
      </c>
      <c r="D14" s="9">
        <f t="shared" si="1"/>
        <v>5326.0763636363627</v>
      </c>
      <c r="E14" s="11">
        <f>450+5525.74+35840</f>
        <v>41815.74</v>
      </c>
      <c r="F14" s="9">
        <f t="shared" si="2"/>
        <v>34846.449999999997</v>
      </c>
      <c r="G14" s="9">
        <f t="shared" si="3"/>
        <v>6969.29</v>
      </c>
      <c r="H14" s="11">
        <f>425+124.49+385</f>
        <v>934.49</v>
      </c>
      <c r="I14" s="9">
        <f t="shared" si="4"/>
        <v>849.5363636363636</v>
      </c>
      <c r="J14" s="9">
        <f t="shared" si="5"/>
        <v>84.953636363636363</v>
      </c>
      <c r="K14" s="11">
        <f>400+2475.43+6400</f>
        <v>9275.43</v>
      </c>
      <c r="L14" s="9">
        <f t="shared" si="6"/>
        <v>7729.5250000000005</v>
      </c>
      <c r="M14" s="9">
        <f t="shared" si="7"/>
        <v>1545.9050000000002</v>
      </c>
      <c r="N14" s="11">
        <v>545</v>
      </c>
      <c r="O14" s="9">
        <f t="shared" si="8"/>
        <v>454.16666666666669</v>
      </c>
      <c r="P14" s="9">
        <f t="shared" si="9"/>
        <v>90.833333333333343</v>
      </c>
      <c r="Q14" s="11">
        <f>2000</f>
        <v>2000</v>
      </c>
      <c r="R14" s="11">
        <f>3620+22157.5+90915-14875</f>
        <v>101817.5</v>
      </c>
      <c r="S14" s="11">
        <v>7340</v>
      </c>
      <c r="T14" s="9">
        <v>0</v>
      </c>
      <c r="U14" s="17">
        <f>7168.5+14875</f>
        <v>22043.5</v>
      </c>
      <c r="V14" s="3"/>
    </row>
    <row r="15" spans="1:22" x14ac:dyDescent="0.3">
      <c r="A15" s="8">
        <v>45792</v>
      </c>
      <c r="B15" s="11">
        <f>42795</f>
        <v>42795</v>
      </c>
      <c r="C15" s="9">
        <f t="shared" si="0"/>
        <v>38904.545454545449</v>
      </c>
      <c r="D15" s="9">
        <f t="shared" si="1"/>
        <v>3890.454545454545</v>
      </c>
      <c r="E15" s="11">
        <v>9850</v>
      </c>
      <c r="F15" s="9">
        <f t="shared" si="2"/>
        <v>8208.3333333333339</v>
      </c>
      <c r="G15" s="9">
        <f t="shared" si="3"/>
        <v>1641.666666666667</v>
      </c>
      <c r="H15" s="11">
        <v>2505</v>
      </c>
      <c r="I15" s="9">
        <f t="shared" si="4"/>
        <v>2277.272727272727</v>
      </c>
      <c r="J15" s="9">
        <f t="shared" si="5"/>
        <v>227.72727272727272</v>
      </c>
      <c r="K15" s="11">
        <v>4200</v>
      </c>
      <c r="L15" s="9">
        <f t="shared" si="6"/>
        <v>3500</v>
      </c>
      <c r="M15" s="9">
        <f t="shared" si="7"/>
        <v>700</v>
      </c>
      <c r="N15" s="9">
        <v>0</v>
      </c>
      <c r="O15" s="9">
        <f t="shared" si="8"/>
        <v>0</v>
      </c>
      <c r="P15" s="9">
        <f t="shared" si="9"/>
        <v>0</v>
      </c>
      <c r="Q15" s="9">
        <v>0</v>
      </c>
      <c r="R15" s="11">
        <f>59350</f>
        <v>59350</v>
      </c>
      <c r="S15" s="9">
        <v>0</v>
      </c>
      <c r="T15" s="11">
        <v>4480</v>
      </c>
      <c r="U15" s="17">
        <f>14425+11240</f>
        <v>25665</v>
      </c>
      <c r="V15" s="3" t="s">
        <v>46</v>
      </c>
    </row>
    <row r="16" spans="1:22" x14ac:dyDescent="0.3">
      <c r="A16" s="8">
        <v>45793</v>
      </c>
      <c r="B16" s="11">
        <f>4040+995+500+49685</f>
        <v>55220</v>
      </c>
      <c r="C16" s="9">
        <f t="shared" si="0"/>
        <v>50199.999999999993</v>
      </c>
      <c r="D16" s="9">
        <f t="shared" si="1"/>
        <v>5020</v>
      </c>
      <c r="E16" s="11">
        <f>4200+23150+16995+3050</f>
        <v>47395</v>
      </c>
      <c r="F16" s="9">
        <f t="shared" si="2"/>
        <v>39495.833333333336</v>
      </c>
      <c r="G16" s="9">
        <f t="shared" si="3"/>
        <v>7899.1666666666679</v>
      </c>
      <c r="H16" s="11">
        <f>270+850+660+1700</f>
        <v>3480</v>
      </c>
      <c r="I16" s="9">
        <f t="shared" si="4"/>
        <v>3163.6363636363635</v>
      </c>
      <c r="J16" s="9">
        <f t="shared" si="5"/>
        <v>316.36363636363637</v>
      </c>
      <c r="K16" s="11">
        <f>400+800+1000+3600+5600</f>
        <v>11400</v>
      </c>
      <c r="L16" s="9">
        <f t="shared" si="6"/>
        <v>9500</v>
      </c>
      <c r="M16" s="9">
        <f t="shared" si="7"/>
        <v>1900</v>
      </c>
      <c r="N16" s="11">
        <v>500</v>
      </c>
      <c r="O16" s="9">
        <f t="shared" si="8"/>
        <v>416.66666666666669</v>
      </c>
      <c r="P16" s="9">
        <f t="shared" si="9"/>
        <v>83.333333333333343</v>
      </c>
      <c r="Q16" s="11">
        <f>4300</f>
        <v>4300</v>
      </c>
      <c r="R16" s="11">
        <f>5210+5995+5400+23110+73980</f>
        <v>113695</v>
      </c>
      <c r="S16" s="9">
        <v>0</v>
      </c>
      <c r="T16" s="11">
        <v>7230</v>
      </c>
      <c r="U16" s="17">
        <v>10190</v>
      </c>
      <c r="V16" s="3" t="s">
        <v>47</v>
      </c>
    </row>
    <row r="17" spans="1:22" x14ac:dyDescent="0.3">
      <c r="A17" s="8">
        <v>45794</v>
      </c>
      <c r="B17" s="11">
        <f>6985+1800+48670</f>
        <v>57455</v>
      </c>
      <c r="C17" s="9">
        <f t="shared" si="0"/>
        <v>52231.818181818177</v>
      </c>
      <c r="D17" s="9">
        <f t="shared" si="1"/>
        <v>5223.181818181818</v>
      </c>
      <c r="E17" s="11">
        <f>12150+5125+2050+19020+4900</f>
        <v>43245</v>
      </c>
      <c r="F17" s="9">
        <f t="shared" si="2"/>
        <v>36037.5</v>
      </c>
      <c r="G17" s="9">
        <f t="shared" si="3"/>
        <v>7207.5</v>
      </c>
      <c r="H17" s="11">
        <f>1955</f>
        <v>1955</v>
      </c>
      <c r="I17" s="9">
        <f t="shared" si="4"/>
        <v>1777.272727272727</v>
      </c>
      <c r="J17" s="9">
        <f t="shared" si="5"/>
        <v>177.72727272727272</v>
      </c>
      <c r="K17" s="11">
        <f>2600+800+400+5400+800</f>
        <v>10000</v>
      </c>
      <c r="L17" s="9">
        <f t="shared" si="6"/>
        <v>8333.3333333333339</v>
      </c>
      <c r="M17" s="9">
        <f t="shared" si="7"/>
        <v>1666.666666666667</v>
      </c>
      <c r="N17" s="11">
        <f>640+1770</f>
        <v>2410</v>
      </c>
      <c r="O17" s="9">
        <f t="shared" si="8"/>
        <v>2008.3333333333335</v>
      </c>
      <c r="P17" s="9">
        <f t="shared" si="9"/>
        <v>401.66666666666674</v>
      </c>
      <c r="Q17" s="9">
        <f>0</f>
        <v>0</v>
      </c>
      <c r="R17" s="11">
        <f>14750+13550+4250+76815+5700</f>
        <v>115065</v>
      </c>
      <c r="S17" s="9">
        <v>0</v>
      </c>
      <c r="T17" s="11">
        <v>16770</v>
      </c>
      <c r="U17" s="17">
        <f>41200+23150+18490+33626.5</f>
        <v>116466.5</v>
      </c>
      <c r="V17" s="3" t="s">
        <v>48</v>
      </c>
    </row>
    <row r="18" spans="1:22" x14ac:dyDescent="0.3">
      <c r="A18" s="8">
        <v>45795</v>
      </c>
      <c r="B18" s="11">
        <f>4625+73574.53</f>
        <v>78199.53</v>
      </c>
      <c r="C18" s="9">
        <f t="shared" si="0"/>
        <v>71090.481818181812</v>
      </c>
      <c r="D18" s="9">
        <f t="shared" si="1"/>
        <v>7109.0481818181815</v>
      </c>
      <c r="E18" s="11">
        <f>5750+600+4760</f>
        <v>11110</v>
      </c>
      <c r="F18" s="9">
        <f t="shared" si="2"/>
        <v>9258.3333333333339</v>
      </c>
      <c r="G18" s="9">
        <f t="shared" si="3"/>
        <v>1851.666666666667</v>
      </c>
      <c r="H18" s="11">
        <f>1285+135+2130</f>
        <v>3550</v>
      </c>
      <c r="I18" s="9">
        <f t="shared" si="4"/>
        <v>3227.272727272727</v>
      </c>
      <c r="J18" s="9">
        <f t="shared" si="5"/>
        <v>322.72727272727275</v>
      </c>
      <c r="K18" s="11">
        <f>1800+400+2985.47</f>
        <v>5185.4699999999993</v>
      </c>
      <c r="L18" s="9">
        <f t="shared" si="6"/>
        <v>4321.2249999999995</v>
      </c>
      <c r="M18" s="9">
        <f t="shared" si="7"/>
        <v>864.24499999999989</v>
      </c>
      <c r="N18" s="9">
        <v>0</v>
      </c>
      <c r="O18" s="9">
        <f t="shared" si="8"/>
        <v>0</v>
      </c>
      <c r="P18" s="9">
        <f t="shared" si="9"/>
        <v>0</v>
      </c>
      <c r="Q18" s="11">
        <f>3100</f>
        <v>3100</v>
      </c>
      <c r="R18" s="11">
        <f>5735+5760+83450</f>
        <v>94945</v>
      </c>
      <c r="S18" s="9">
        <v>0</v>
      </c>
      <c r="T18" s="11">
        <v>230</v>
      </c>
      <c r="U18" s="17">
        <f>25170+17720</f>
        <v>42890</v>
      </c>
      <c r="V18" s="3"/>
    </row>
    <row r="19" spans="1:22" x14ac:dyDescent="0.3">
      <c r="A19" s="8">
        <v>45797</v>
      </c>
      <c r="B19" s="11">
        <f>995+26665</f>
        <v>27660</v>
      </c>
      <c r="C19" s="9">
        <f t="shared" ref="C19:C20" si="10">B19/1.1</f>
        <v>25145.454545454544</v>
      </c>
      <c r="D19" s="9">
        <f t="shared" ref="D19" si="11">C19*0.1</f>
        <v>2514.5454545454545</v>
      </c>
      <c r="E19" s="11">
        <f>3585+9240</f>
        <v>12825</v>
      </c>
      <c r="F19" s="9">
        <f t="shared" ref="F19:F20" si="12">E19/1.2</f>
        <v>10687.5</v>
      </c>
      <c r="G19" s="9">
        <f t="shared" ref="G19" si="13">F19*0.2</f>
        <v>2137.5</v>
      </c>
      <c r="H19" s="11">
        <f>2285</f>
        <v>2285</v>
      </c>
      <c r="I19" s="9">
        <f t="shared" ref="I19:I20" si="14">H19/1.1</f>
        <v>2077.272727272727</v>
      </c>
      <c r="J19" s="9">
        <f t="shared" ref="J19" si="15">I19*0.1</f>
        <v>207.72727272727272</v>
      </c>
      <c r="K19" s="11">
        <f>1000+3400</f>
        <v>4400</v>
      </c>
      <c r="L19" s="9">
        <f t="shared" ref="L19" si="16">K19/1.2</f>
        <v>3666.666666666667</v>
      </c>
      <c r="M19" s="9">
        <f t="shared" ref="M19" si="17">L19*0.2</f>
        <v>733.33333333333348</v>
      </c>
      <c r="N19" s="9">
        <v>0</v>
      </c>
      <c r="O19" s="9">
        <f t="shared" si="8"/>
        <v>0</v>
      </c>
      <c r="P19" s="9">
        <f t="shared" ref="P19" si="18">O19*0.2</f>
        <v>0</v>
      </c>
      <c r="Q19" s="11">
        <f>825</f>
        <v>825</v>
      </c>
      <c r="R19" s="11">
        <f>41590+4755</f>
        <v>46345</v>
      </c>
      <c r="S19" s="9">
        <v>0</v>
      </c>
      <c r="T19" s="9">
        <v>0</v>
      </c>
      <c r="U19" s="17">
        <v>25985</v>
      </c>
      <c r="V19" s="3"/>
    </row>
    <row r="20" spans="1:22" x14ac:dyDescent="0.3">
      <c r="A20" s="8">
        <v>45798</v>
      </c>
      <c r="B20" s="11">
        <v>38350</v>
      </c>
      <c r="C20" s="9">
        <f t="shared" si="10"/>
        <v>34863.63636363636</v>
      </c>
      <c r="D20" s="9">
        <f t="shared" si="1"/>
        <v>3486.363636363636</v>
      </c>
      <c r="E20" s="11">
        <v>10645</v>
      </c>
      <c r="F20" s="9">
        <f t="shared" si="12"/>
        <v>8870.8333333333339</v>
      </c>
      <c r="G20" s="9">
        <f t="shared" si="3"/>
        <v>1774.166666666667</v>
      </c>
      <c r="H20" s="11">
        <v>1155</v>
      </c>
      <c r="I20" s="9">
        <f t="shared" si="14"/>
        <v>1050</v>
      </c>
      <c r="J20" s="9">
        <f t="shared" si="5"/>
        <v>105</v>
      </c>
      <c r="K20" s="9">
        <v>0</v>
      </c>
      <c r="L20" s="9">
        <f t="shared" si="6"/>
        <v>0</v>
      </c>
      <c r="M20" s="9">
        <f t="shared" si="7"/>
        <v>0</v>
      </c>
      <c r="N20" s="11">
        <v>5000</v>
      </c>
      <c r="O20" s="9">
        <f t="shared" si="8"/>
        <v>4166.666666666667</v>
      </c>
      <c r="P20" s="9">
        <f t="shared" si="9"/>
        <v>833.33333333333348</v>
      </c>
      <c r="Q20" s="11">
        <v>900</v>
      </c>
      <c r="R20" s="11">
        <v>54250</v>
      </c>
      <c r="S20" s="9">
        <v>0</v>
      </c>
      <c r="T20" s="9">
        <v>0</v>
      </c>
      <c r="U20" s="17">
        <v>17970</v>
      </c>
      <c r="V20" s="3"/>
    </row>
    <row r="21" spans="1:22" x14ac:dyDescent="0.3">
      <c r="A21" s="8">
        <v>45799</v>
      </c>
      <c r="B21" s="11">
        <f>26275</f>
        <v>26275</v>
      </c>
      <c r="C21" s="9">
        <f t="shared" ref="C21:C26" si="19">B21/1.1</f>
        <v>23886.363636363636</v>
      </c>
      <c r="D21" s="9">
        <f t="shared" si="1"/>
        <v>2388.6363636363635</v>
      </c>
      <c r="E21" s="11">
        <f>2400+3860</f>
        <v>6260</v>
      </c>
      <c r="F21" s="9">
        <f t="shared" ref="F21:F26" si="20">E21/1.2</f>
        <v>5216.666666666667</v>
      </c>
      <c r="G21" s="9">
        <f t="shared" si="3"/>
        <v>1043.3333333333335</v>
      </c>
      <c r="H21" s="11">
        <f>650+95</f>
        <v>745</v>
      </c>
      <c r="I21" s="9">
        <f t="shared" ref="I21:I26" si="21">H21/1.1</f>
        <v>677.27272727272725</v>
      </c>
      <c r="J21" s="9">
        <f t="shared" si="5"/>
        <v>67.727272727272734</v>
      </c>
      <c r="K21" s="11">
        <f>1200+2600</f>
        <v>3800</v>
      </c>
      <c r="L21" s="9">
        <f t="shared" si="6"/>
        <v>3166.666666666667</v>
      </c>
      <c r="M21" s="9">
        <f t="shared" si="7"/>
        <v>633.33333333333348</v>
      </c>
      <c r="N21" s="11">
        <v>600</v>
      </c>
      <c r="O21" s="9">
        <f t="shared" ref="O21:O26" si="22">N21/1.2</f>
        <v>500</v>
      </c>
      <c r="P21" s="9">
        <f t="shared" si="9"/>
        <v>100</v>
      </c>
      <c r="Q21" s="11">
        <f>600</f>
        <v>600</v>
      </c>
      <c r="R21" s="11">
        <f>3650+33430</f>
        <v>37080</v>
      </c>
      <c r="S21" s="9">
        <v>0</v>
      </c>
      <c r="T21" s="9">
        <v>0</v>
      </c>
      <c r="U21" s="14">
        <v>0</v>
      </c>
      <c r="V21" s="3"/>
    </row>
    <row r="22" spans="1:22" x14ac:dyDescent="0.3">
      <c r="A22" s="8">
        <v>45800</v>
      </c>
      <c r="B22" s="11">
        <f>74450+2950</f>
        <v>77400</v>
      </c>
      <c r="C22" s="9">
        <f t="shared" si="19"/>
        <v>70363.636363636353</v>
      </c>
      <c r="D22" s="9">
        <f t="shared" si="1"/>
        <v>7036.363636363636</v>
      </c>
      <c r="E22" s="11">
        <f>1250+9550+33230+1490</f>
        <v>45520</v>
      </c>
      <c r="F22" s="9">
        <f t="shared" si="20"/>
        <v>37933.333333333336</v>
      </c>
      <c r="G22" s="9">
        <f t="shared" si="3"/>
        <v>7586.6666666666679</v>
      </c>
      <c r="H22" s="11">
        <f>755+2740</f>
        <v>3495</v>
      </c>
      <c r="I22" s="9">
        <f t="shared" si="21"/>
        <v>3177.272727272727</v>
      </c>
      <c r="J22" s="9">
        <f t="shared" si="5"/>
        <v>317.72727272727275</v>
      </c>
      <c r="K22" s="11">
        <f>400+2200+8200+400</f>
        <v>11200</v>
      </c>
      <c r="L22" s="9">
        <f t="shared" si="6"/>
        <v>9333.3333333333339</v>
      </c>
      <c r="M22" s="9">
        <f t="shared" si="7"/>
        <v>1866.666666666667</v>
      </c>
      <c r="N22" s="11">
        <v>1590</v>
      </c>
      <c r="O22" s="9">
        <f t="shared" si="22"/>
        <v>1325</v>
      </c>
      <c r="P22" s="9">
        <f t="shared" si="9"/>
        <v>265</v>
      </c>
      <c r="Q22" s="11">
        <f>1600+4200</f>
        <v>5800</v>
      </c>
      <c r="R22" s="11">
        <f>1650+10905+120210-4930</f>
        <v>127835</v>
      </c>
      <c r="S22" s="11">
        <f>4930+640</f>
        <v>5570</v>
      </c>
      <c r="T22" s="9"/>
      <c r="U22" s="17">
        <f>4985+11800+48400</f>
        <v>65185</v>
      </c>
      <c r="V22" s="3"/>
    </row>
    <row r="23" spans="1:22" x14ac:dyDescent="0.3">
      <c r="A23" s="8">
        <v>45801</v>
      </c>
      <c r="B23" s="11">
        <f>57735</f>
        <v>57735</v>
      </c>
      <c r="C23" s="9">
        <f t="shared" si="19"/>
        <v>52486.363636363632</v>
      </c>
      <c r="D23" s="9">
        <f t="shared" si="1"/>
        <v>5248.636363636364</v>
      </c>
      <c r="E23" s="11">
        <v>25355</v>
      </c>
      <c r="F23" s="9">
        <f t="shared" si="20"/>
        <v>21129.166666666668</v>
      </c>
      <c r="G23" s="9">
        <f t="shared" si="3"/>
        <v>4225.8333333333339</v>
      </c>
      <c r="H23" s="11">
        <v>2985</v>
      </c>
      <c r="I23" s="9">
        <f t="shared" si="21"/>
        <v>2713.6363636363635</v>
      </c>
      <c r="J23" s="9">
        <f t="shared" si="5"/>
        <v>271.36363636363637</v>
      </c>
      <c r="K23" s="11">
        <v>6400</v>
      </c>
      <c r="L23" s="9">
        <f t="shared" si="6"/>
        <v>5333.3333333333339</v>
      </c>
      <c r="M23" s="9">
        <f t="shared" si="7"/>
        <v>1066.6666666666667</v>
      </c>
      <c r="N23" s="11">
        <v>1000</v>
      </c>
      <c r="O23" s="9">
        <f t="shared" si="22"/>
        <v>833.33333333333337</v>
      </c>
      <c r="P23" s="9">
        <f t="shared" si="9"/>
        <v>166.66666666666669</v>
      </c>
      <c r="Q23" s="9">
        <v>0</v>
      </c>
      <c r="R23" s="11">
        <f>93475</f>
        <v>93475</v>
      </c>
      <c r="S23" s="9">
        <v>0</v>
      </c>
      <c r="T23" s="9">
        <v>0</v>
      </c>
      <c r="U23" s="17">
        <f>43000+24520+22700+11600</f>
        <v>101820</v>
      </c>
      <c r="V23" s="3" t="s">
        <v>49</v>
      </c>
    </row>
    <row r="24" spans="1:22" x14ac:dyDescent="0.3">
      <c r="A24" s="8">
        <v>45802</v>
      </c>
      <c r="B24" s="11">
        <f>2525+15365+3585</f>
        <v>21475</v>
      </c>
      <c r="C24" s="9">
        <f t="shared" si="19"/>
        <v>19522.727272727272</v>
      </c>
      <c r="D24" s="9">
        <f t="shared" si="1"/>
        <v>1952.2727272727273</v>
      </c>
      <c r="E24" s="11">
        <f>1550+2145+8660</f>
        <v>12355</v>
      </c>
      <c r="F24" s="9">
        <f t="shared" si="20"/>
        <v>10295.833333333334</v>
      </c>
      <c r="G24" s="9">
        <f t="shared" si="3"/>
        <v>2059.166666666667</v>
      </c>
      <c r="H24" s="11">
        <f>85</f>
        <v>85</v>
      </c>
      <c r="I24" s="9">
        <f t="shared" si="21"/>
        <v>77.272727272727266</v>
      </c>
      <c r="J24" s="9">
        <f t="shared" si="5"/>
        <v>7.7272727272727266</v>
      </c>
      <c r="K24" s="11">
        <f>400+1000+2000</f>
        <v>3400</v>
      </c>
      <c r="L24" s="9">
        <f t="shared" si="6"/>
        <v>2833.3333333333335</v>
      </c>
      <c r="M24" s="9">
        <f t="shared" si="7"/>
        <v>566.66666666666674</v>
      </c>
      <c r="N24" s="11">
        <f>1440</f>
        <v>1440</v>
      </c>
      <c r="O24" s="9">
        <f t="shared" si="22"/>
        <v>1200</v>
      </c>
      <c r="P24" s="9">
        <f t="shared" si="9"/>
        <v>240</v>
      </c>
      <c r="Q24" s="9">
        <v>0</v>
      </c>
      <c r="R24" s="11">
        <f>6000+18510+14245</f>
        <v>38755</v>
      </c>
      <c r="S24" s="9">
        <v>0</v>
      </c>
      <c r="T24" s="9">
        <v>0</v>
      </c>
      <c r="U24" s="17">
        <v>14545</v>
      </c>
      <c r="V24" s="3"/>
    </row>
    <row r="25" spans="1:22" x14ac:dyDescent="0.3">
      <c r="A25" s="8">
        <v>45804</v>
      </c>
      <c r="B25" s="11">
        <f>52432.02+500</f>
        <v>52932.02</v>
      </c>
      <c r="C25" s="9">
        <f t="shared" si="19"/>
        <v>48120.018181818174</v>
      </c>
      <c r="D25" s="9">
        <f t="shared" si="1"/>
        <v>4812.0018181818177</v>
      </c>
      <c r="E25" s="11">
        <f>15281.33+5400+3100</f>
        <v>23781.33</v>
      </c>
      <c r="F25" s="9">
        <f t="shared" si="20"/>
        <v>19817.775000000001</v>
      </c>
      <c r="G25" s="9">
        <f t="shared" si="3"/>
        <v>3963.5550000000003</v>
      </c>
      <c r="H25" s="11">
        <f>1019.68</f>
        <v>1019.68</v>
      </c>
      <c r="I25" s="9">
        <f t="shared" si="21"/>
        <v>926.98181818181808</v>
      </c>
      <c r="J25" s="9">
        <f t="shared" si="5"/>
        <v>92.698181818181808</v>
      </c>
      <c r="K25" s="11">
        <f>6456.97+1200+400</f>
        <v>8056.97</v>
      </c>
      <c r="L25" s="9">
        <f t="shared" si="6"/>
        <v>6714.1416666666673</v>
      </c>
      <c r="M25" s="9">
        <f t="shared" si="7"/>
        <v>1342.8283333333336</v>
      </c>
      <c r="N25" s="11">
        <v>1705</v>
      </c>
      <c r="O25" s="9">
        <f t="shared" si="22"/>
        <v>1420.8333333333335</v>
      </c>
      <c r="P25" s="9">
        <f t="shared" si="9"/>
        <v>284.16666666666669</v>
      </c>
      <c r="Q25" s="9">
        <v>0</v>
      </c>
      <c r="R25" s="11">
        <f>76895-1035+7100-1050+3500</f>
        <v>85410</v>
      </c>
      <c r="S25" s="11">
        <f>1035+1050</f>
        <v>2085</v>
      </c>
      <c r="T25" s="9">
        <v>0</v>
      </c>
      <c r="U25" s="17">
        <f>18625</f>
        <v>18625</v>
      </c>
      <c r="V25" s="3" t="s">
        <v>50</v>
      </c>
    </row>
    <row r="26" spans="1:22" x14ac:dyDescent="0.3">
      <c r="A26" s="8">
        <v>45805</v>
      </c>
      <c r="B26" s="11">
        <v>27510</v>
      </c>
      <c r="C26" s="9">
        <f t="shared" si="19"/>
        <v>25009.090909090908</v>
      </c>
      <c r="D26" s="9">
        <f t="shared" si="1"/>
        <v>2500.909090909091</v>
      </c>
      <c r="E26" s="11">
        <v>7340</v>
      </c>
      <c r="F26" s="9">
        <f t="shared" si="20"/>
        <v>6116.666666666667</v>
      </c>
      <c r="G26" s="9">
        <f t="shared" si="3"/>
        <v>1223.3333333333335</v>
      </c>
      <c r="H26" s="11">
        <v>470</v>
      </c>
      <c r="I26" s="9">
        <f t="shared" si="21"/>
        <v>427.27272727272725</v>
      </c>
      <c r="J26" s="9">
        <f t="shared" si="5"/>
        <v>42.727272727272727</v>
      </c>
      <c r="K26" s="11">
        <v>2800</v>
      </c>
      <c r="L26" s="9">
        <f t="shared" si="6"/>
        <v>2333.3333333333335</v>
      </c>
      <c r="M26" s="9">
        <f t="shared" si="7"/>
        <v>466.66666666666674</v>
      </c>
      <c r="N26" s="11">
        <v>400</v>
      </c>
      <c r="O26" s="9">
        <f t="shared" si="22"/>
        <v>333.33333333333337</v>
      </c>
      <c r="P26" s="9">
        <f t="shared" si="9"/>
        <v>66.666666666666671</v>
      </c>
      <c r="Q26" s="9">
        <v>0</v>
      </c>
      <c r="R26" s="11">
        <v>38520</v>
      </c>
      <c r="S26" s="9">
        <v>0</v>
      </c>
      <c r="T26" s="9">
        <v>0</v>
      </c>
      <c r="U26" s="17">
        <v>12665</v>
      </c>
      <c r="V26" s="3"/>
    </row>
    <row r="27" spans="1:22" x14ac:dyDescent="0.3">
      <c r="A27" s="8">
        <v>45806</v>
      </c>
      <c r="B27" s="11">
        <f>12535+29110</f>
        <v>41645</v>
      </c>
      <c r="C27" s="9">
        <f t="shared" si="0"/>
        <v>37859.090909090904</v>
      </c>
      <c r="D27" s="9">
        <f t="shared" si="1"/>
        <v>3785.9090909090905</v>
      </c>
      <c r="E27" s="11">
        <f>2275+8695</f>
        <v>10970</v>
      </c>
      <c r="F27" s="9">
        <f t="shared" si="2"/>
        <v>9141.6666666666679</v>
      </c>
      <c r="G27" s="9">
        <f t="shared" si="3"/>
        <v>1828.3333333333337</v>
      </c>
      <c r="H27" s="11">
        <f>1500+1030</f>
        <v>2530</v>
      </c>
      <c r="I27" s="9">
        <f t="shared" si="4"/>
        <v>2300</v>
      </c>
      <c r="J27" s="9">
        <f t="shared" si="5"/>
        <v>230</v>
      </c>
      <c r="K27" s="11">
        <f>1800+3400</f>
        <v>5200</v>
      </c>
      <c r="L27" s="9">
        <f t="shared" si="6"/>
        <v>4333.3333333333339</v>
      </c>
      <c r="M27" s="9">
        <f t="shared" si="7"/>
        <v>866.66666666666686</v>
      </c>
      <c r="N27" s="11">
        <v>725</v>
      </c>
      <c r="O27" s="9">
        <f t="shared" si="8"/>
        <v>604.16666666666674</v>
      </c>
      <c r="P27" s="9">
        <f t="shared" si="9"/>
        <v>120.83333333333336</v>
      </c>
      <c r="Q27" s="11">
        <f>2440</f>
        <v>2440</v>
      </c>
      <c r="R27" s="11">
        <f>18110+40520-8165</f>
        <v>50465</v>
      </c>
      <c r="S27" s="11">
        <v>8165</v>
      </c>
      <c r="T27" s="9">
        <v>0</v>
      </c>
      <c r="U27" s="17">
        <f>11985+20800</f>
        <v>32785</v>
      </c>
      <c r="V27" s="3"/>
    </row>
    <row r="28" spans="1:22" x14ac:dyDescent="0.3">
      <c r="A28" s="8">
        <v>45807</v>
      </c>
      <c r="B28" s="11">
        <f>250+50950+13220+4165</f>
        <v>68585</v>
      </c>
      <c r="C28" s="9">
        <f t="shared" si="0"/>
        <v>62349.999999999993</v>
      </c>
      <c r="D28" s="9">
        <f t="shared" si="1"/>
        <v>6235</v>
      </c>
      <c r="E28" s="11">
        <f>8375+4900+19915+3990+5990</f>
        <v>43170</v>
      </c>
      <c r="F28" s="9">
        <f t="shared" si="2"/>
        <v>35975</v>
      </c>
      <c r="G28" s="9">
        <f t="shared" si="3"/>
        <v>7195</v>
      </c>
      <c r="H28" s="11">
        <f>1140+295</f>
        <v>1435</v>
      </c>
      <c r="I28" s="9">
        <f t="shared" si="4"/>
        <v>1304.5454545454545</v>
      </c>
      <c r="J28" s="9">
        <f t="shared" si="5"/>
        <v>130.45454545454547</v>
      </c>
      <c r="K28" s="11">
        <f>1800+800+4800+1600+800</f>
        <v>9800</v>
      </c>
      <c r="L28" s="9">
        <f t="shared" si="6"/>
        <v>8166.666666666667</v>
      </c>
      <c r="M28" s="9">
        <f t="shared" si="7"/>
        <v>1633.3333333333335</v>
      </c>
      <c r="N28" s="9">
        <v>0</v>
      </c>
      <c r="O28" s="9">
        <f t="shared" si="8"/>
        <v>0</v>
      </c>
      <c r="P28" s="9">
        <f t="shared" si="9"/>
        <v>0</v>
      </c>
      <c r="Q28" s="11">
        <f>850+3900</f>
        <v>4750</v>
      </c>
      <c r="R28" s="11">
        <f>9575+5700+72905-5155+19105+10955</f>
        <v>113085</v>
      </c>
      <c r="S28" s="11">
        <v>5155</v>
      </c>
      <c r="T28" s="9">
        <v>0</v>
      </c>
      <c r="U28" s="14">
        <f>6695+15935+9950</f>
        <v>32580</v>
      </c>
      <c r="V28" s="3" t="s">
        <v>51</v>
      </c>
    </row>
    <row r="29" spans="1:22" x14ac:dyDescent="0.3">
      <c r="A29" s="8">
        <v>45808</v>
      </c>
      <c r="B29" s="11">
        <f>29473.05+5375+27570.62</f>
        <v>62418.67</v>
      </c>
      <c r="C29" s="9">
        <f t="shared" si="0"/>
        <v>56744.245454545446</v>
      </c>
      <c r="D29" s="9">
        <f t="shared" si="1"/>
        <v>5674.4245454545453</v>
      </c>
      <c r="E29" s="11">
        <f>26938.56+13375+18484.61</f>
        <v>58798.17</v>
      </c>
      <c r="F29" s="9">
        <f t="shared" si="2"/>
        <v>48998.474999999999</v>
      </c>
      <c r="G29" s="9">
        <f t="shared" si="3"/>
        <v>9799.6949999999997</v>
      </c>
      <c r="H29" s="11">
        <f>565+170+609.15</f>
        <v>1344.15</v>
      </c>
      <c r="I29" s="9">
        <f t="shared" si="4"/>
        <v>1221.9545454545455</v>
      </c>
      <c r="J29" s="9">
        <f t="shared" si="5"/>
        <v>122.19545454545455</v>
      </c>
      <c r="K29" s="11">
        <f>5203.39+1800+4635.62</f>
        <v>11639.01</v>
      </c>
      <c r="L29" s="9">
        <f t="shared" si="6"/>
        <v>9699.1750000000011</v>
      </c>
      <c r="M29" s="9">
        <f t="shared" si="7"/>
        <v>1939.8350000000003</v>
      </c>
      <c r="N29" s="11">
        <f>1880+460</f>
        <v>2340</v>
      </c>
      <c r="O29" s="9">
        <f t="shared" si="8"/>
        <v>1950</v>
      </c>
      <c r="P29" s="9">
        <f t="shared" si="9"/>
        <v>390</v>
      </c>
      <c r="Q29" s="11">
        <f>1000</f>
        <v>1000</v>
      </c>
      <c r="R29" s="11">
        <f>63060-2100+20720-5540+51760</f>
        <v>127900</v>
      </c>
      <c r="S29" s="11">
        <f>2100+5540</f>
        <v>7640</v>
      </c>
      <c r="T29" s="9">
        <v>0</v>
      </c>
      <c r="U29" s="14">
        <v>0</v>
      </c>
      <c r="V29" s="3" t="s">
        <v>52</v>
      </c>
    </row>
    <row r="30" spans="1:22" x14ac:dyDescent="0.3">
      <c r="B30" s="6">
        <f>SUM(B3:B29)</f>
        <v>1390372.06</v>
      </c>
      <c r="C30" s="10">
        <f>B30/1.1</f>
        <v>1263974.5999999999</v>
      </c>
      <c r="D30" s="10">
        <f t="shared" ref="D30" si="23">C30*10/100</f>
        <v>126397.45999999998</v>
      </c>
      <c r="E30" s="6">
        <f>SUM(E3:E29)</f>
        <v>705666.24</v>
      </c>
      <c r="F30" s="10">
        <f t="shared" ref="F30" si="24">E30/1.2</f>
        <v>588055.20000000007</v>
      </c>
      <c r="G30" s="10">
        <f t="shared" ref="G30" si="25">F30*20/100</f>
        <v>117611.04000000002</v>
      </c>
      <c r="H30" s="6">
        <f>SUM(H3:H29)</f>
        <v>67128.319999999992</v>
      </c>
      <c r="I30" s="10">
        <f t="shared" ref="I30" si="26">H30/1.1</f>
        <v>61025.745454545446</v>
      </c>
      <c r="J30" s="10">
        <f t="shared" ref="J30" si="27">I30*10/100</f>
        <v>6102.5745454545449</v>
      </c>
      <c r="K30" s="6">
        <f>SUM(K3:K29)</f>
        <v>193556.88</v>
      </c>
      <c r="L30" s="10">
        <f t="shared" ref="L30" si="28">K30/1.2</f>
        <v>161297.40000000002</v>
      </c>
      <c r="M30" s="10">
        <f t="shared" ref="M30" si="29">L30*20/100</f>
        <v>32259.480000000003</v>
      </c>
      <c r="N30" s="6">
        <f>SUM(N3:N29)</f>
        <v>23800</v>
      </c>
      <c r="O30" s="10">
        <f t="shared" ref="O30" si="30">N30/1.2</f>
        <v>19833.333333333336</v>
      </c>
      <c r="P30" s="10">
        <f t="shared" ref="P30" si="31">O30*20/100</f>
        <v>3966.6666666666674</v>
      </c>
      <c r="Q30" s="6">
        <f>SUM(Q3:Q29)</f>
        <v>58986</v>
      </c>
      <c r="R30" s="6">
        <f>SUM(R3:R29)</f>
        <v>2241082.5</v>
      </c>
      <c r="S30" s="6"/>
      <c r="T30" s="6">
        <f>SUM(T3:T29)</f>
        <v>55340</v>
      </c>
      <c r="U30" s="6">
        <f>SUM(U3:U29)</f>
        <v>913340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H32" s="5"/>
    </row>
    <row r="34" spans="19:19" x14ac:dyDescent="0.3">
      <c r="S34">
        <f>86345-81360</f>
        <v>4985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opLeftCell="F1" zoomScaleNormal="100" workbookViewId="0">
      <selection activeCell="A27" sqref="A27:XFD27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38" t="s">
        <v>8</v>
      </c>
      <c r="U1" s="139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45809</v>
      </c>
      <c r="B3" s="11">
        <f>29140</f>
        <v>29140</v>
      </c>
      <c r="C3" s="9">
        <f>B3/1.1</f>
        <v>26490.909090909088</v>
      </c>
      <c r="D3" s="9">
        <f>C3*0.1</f>
        <v>2649.090909090909</v>
      </c>
      <c r="E3" s="11">
        <f>5100+8695</f>
        <v>13795</v>
      </c>
      <c r="F3" s="9">
        <f>E3/1.2</f>
        <v>11495.833333333334</v>
      </c>
      <c r="G3" s="9">
        <f>F3*0.2</f>
        <v>2299.166666666667</v>
      </c>
      <c r="H3" s="11">
        <f>930+135</f>
        <v>1065</v>
      </c>
      <c r="I3" s="9">
        <f>H3/1.1</f>
        <v>968.18181818181813</v>
      </c>
      <c r="J3" s="9">
        <f>I3*0.1</f>
        <v>96.818181818181813</v>
      </c>
      <c r="K3" s="11">
        <f>2600+3600</f>
        <v>6200</v>
      </c>
      <c r="L3" s="9">
        <f>K3/1.2</f>
        <v>5166.666666666667</v>
      </c>
      <c r="M3" s="9">
        <f>L3*0.2</f>
        <v>1033.3333333333335</v>
      </c>
      <c r="N3" s="9">
        <v>0</v>
      </c>
      <c r="O3" s="9">
        <f>N3/1.2</f>
        <v>0</v>
      </c>
      <c r="P3" s="9">
        <f>O3*0.2</f>
        <v>0</v>
      </c>
      <c r="Q3" s="11">
        <v>1600</v>
      </c>
      <c r="R3" s="11">
        <f>7030+41570</f>
        <v>48600</v>
      </c>
      <c r="S3" s="9">
        <v>0</v>
      </c>
      <c r="T3" s="9">
        <v>0</v>
      </c>
      <c r="U3" s="17">
        <v>12230</v>
      </c>
      <c r="V3" s="3"/>
    </row>
    <row r="4" spans="1:22" x14ac:dyDescent="0.3">
      <c r="A4" s="8">
        <v>45811</v>
      </c>
      <c r="B4" s="11">
        <f>950+8295+20265+23050</f>
        <v>52560</v>
      </c>
      <c r="C4" s="9">
        <f t="shared" ref="C4:C24" si="0">B4/1.1</f>
        <v>47781.818181818177</v>
      </c>
      <c r="D4" s="9">
        <f t="shared" ref="D4:D26" si="1">C4*0.1</f>
        <v>4778.181818181818</v>
      </c>
      <c r="E4" s="11">
        <f>3600+7350+6220+12360</f>
        <v>29530</v>
      </c>
      <c r="F4" s="9">
        <f t="shared" ref="F4:F27" si="2">E4/1.2</f>
        <v>24608.333333333336</v>
      </c>
      <c r="G4" s="9">
        <f t="shared" ref="G4:G26" si="3">F4*0.2</f>
        <v>4921.6666666666679</v>
      </c>
      <c r="H4" s="11">
        <f>745+870</f>
        <v>1615</v>
      </c>
      <c r="I4" s="9">
        <f t="shared" ref="I4:I27" si="4">H4/1.1</f>
        <v>1468.181818181818</v>
      </c>
      <c r="J4" s="9">
        <f t="shared" ref="J4:J26" si="5">I4*0.1</f>
        <v>146.81818181818181</v>
      </c>
      <c r="K4" s="11">
        <f>600+1000+2400+4000</f>
        <v>8000</v>
      </c>
      <c r="L4" s="9">
        <f t="shared" ref="L4:L27" si="6">K4/1.2</f>
        <v>6666.666666666667</v>
      </c>
      <c r="M4" s="9">
        <f t="shared" ref="M4:M26" si="7">L4*0.2</f>
        <v>1333.3333333333335</v>
      </c>
      <c r="N4" s="11">
        <f>860+280+480</f>
        <v>1620</v>
      </c>
      <c r="O4" s="9">
        <f t="shared" ref="O4:O27" si="8">N4/1.2</f>
        <v>1350</v>
      </c>
      <c r="P4" s="9">
        <f t="shared" ref="P4:P26" si="9">O4*0.2</f>
        <v>270</v>
      </c>
      <c r="Q4" s="11">
        <v>2800</v>
      </c>
      <c r="R4" s="11">
        <f>5150+17505+29910+37960</f>
        <v>90525</v>
      </c>
      <c r="S4" s="9">
        <v>0</v>
      </c>
      <c r="T4" s="9">
        <v>0</v>
      </c>
      <c r="U4" s="17">
        <f>12340+16720</f>
        <v>29060</v>
      </c>
      <c r="V4" s="3"/>
    </row>
    <row r="5" spans="1:22" x14ac:dyDescent="0.3">
      <c r="A5" s="8">
        <v>45812</v>
      </c>
      <c r="B5" s="11">
        <f>20735+30000</f>
        <v>50735</v>
      </c>
      <c r="C5" s="9">
        <f t="shared" si="0"/>
        <v>46122.727272727272</v>
      </c>
      <c r="D5" s="9">
        <f t="shared" si="1"/>
        <v>4612.272727272727</v>
      </c>
      <c r="E5" s="11">
        <f>1850+3245+4275</f>
        <v>9370</v>
      </c>
      <c r="F5" s="9">
        <f t="shared" si="2"/>
        <v>7808.3333333333339</v>
      </c>
      <c r="G5" s="9">
        <f t="shared" si="3"/>
        <v>1561.666666666667</v>
      </c>
      <c r="H5" s="11">
        <f>425+1020+985</f>
        <v>2430</v>
      </c>
      <c r="I5" s="9">
        <f t="shared" si="4"/>
        <v>2209.090909090909</v>
      </c>
      <c r="J5" s="9">
        <f t="shared" si="5"/>
        <v>220.90909090909091</v>
      </c>
      <c r="K5" s="11">
        <f>800+1600+3200</f>
        <v>5600</v>
      </c>
      <c r="L5" s="9">
        <f t="shared" si="6"/>
        <v>4666.666666666667</v>
      </c>
      <c r="M5" s="9">
        <f t="shared" si="7"/>
        <v>933.33333333333348</v>
      </c>
      <c r="N5" s="9">
        <v>0</v>
      </c>
      <c r="O5" s="9">
        <f t="shared" si="8"/>
        <v>0</v>
      </c>
      <c r="P5" s="9">
        <f t="shared" si="9"/>
        <v>0</v>
      </c>
      <c r="Q5" s="11">
        <f>8525+2650</f>
        <v>11175</v>
      </c>
      <c r="R5" s="11">
        <f>3075+18075+35810</f>
        <v>56960</v>
      </c>
      <c r="S5" s="9">
        <v>0</v>
      </c>
      <c r="T5" s="9">
        <v>0</v>
      </c>
      <c r="U5" s="17">
        <v>22480</v>
      </c>
      <c r="V5" s="3"/>
    </row>
    <row r="6" spans="1:22" x14ac:dyDescent="0.3">
      <c r="A6" s="8">
        <v>45815</v>
      </c>
      <c r="B6" s="11">
        <f>34060+6065</f>
        <v>40125</v>
      </c>
      <c r="C6" s="9">
        <f t="shared" si="0"/>
        <v>36477.272727272728</v>
      </c>
      <c r="D6" s="9">
        <f t="shared" si="1"/>
        <v>3647.727272727273</v>
      </c>
      <c r="E6" s="11">
        <f>10040+4000</f>
        <v>14040</v>
      </c>
      <c r="F6" s="9">
        <f t="shared" si="2"/>
        <v>11700</v>
      </c>
      <c r="G6" s="9">
        <f t="shared" si="3"/>
        <v>2340</v>
      </c>
      <c r="H6" s="11">
        <f>1540+2105</f>
        <v>3645</v>
      </c>
      <c r="I6" s="9">
        <f t="shared" si="4"/>
        <v>3313.6363636363635</v>
      </c>
      <c r="J6" s="9">
        <f t="shared" si="5"/>
        <v>331.36363636363637</v>
      </c>
      <c r="K6" s="11">
        <f>4600+2400</f>
        <v>7000</v>
      </c>
      <c r="L6" s="9">
        <f t="shared" si="6"/>
        <v>5833.3333333333339</v>
      </c>
      <c r="M6" s="9">
        <f t="shared" si="7"/>
        <v>1166.6666666666667</v>
      </c>
      <c r="N6" s="9">
        <v>0</v>
      </c>
      <c r="O6" s="9">
        <f t="shared" si="8"/>
        <v>0</v>
      </c>
      <c r="P6" s="9">
        <f t="shared" si="9"/>
        <v>0</v>
      </c>
      <c r="Q6" s="11">
        <v>9050</v>
      </c>
      <c r="R6" s="11">
        <f>33900</f>
        <v>33900</v>
      </c>
      <c r="S6" s="11">
        <f>7290+14570</f>
        <v>21860</v>
      </c>
      <c r="T6" s="9">
        <v>0</v>
      </c>
      <c r="U6" s="17">
        <v>38235</v>
      </c>
      <c r="V6" s="3"/>
    </row>
    <row r="7" spans="1:22" x14ac:dyDescent="0.3">
      <c r="A7" s="8">
        <v>45816</v>
      </c>
      <c r="B7" s="11">
        <f>59105</f>
        <v>59105</v>
      </c>
      <c r="C7" s="9">
        <f t="shared" si="0"/>
        <v>53731.818181818177</v>
      </c>
      <c r="D7" s="9">
        <f t="shared" si="1"/>
        <v>5373.181818181818</v>
      </c>
      <c r="E7" s="11">
        <f>3600+600+15090+600</f>
        <v>19890</v>
      </c>
      <c r="F7" s="9">
        <f t="shared" si="2"/>
        <v>16575</v>
      </c>
      <c r="G7" s="9">
        <f t="shared" si="3"/>
        <v>3315</v>
      </c>
      <c r="H7" s="11">
        <f>425+3440+1700</f>
        <v>5565</v>
      </c>
      <c r="I7" s="9">
        <f t="shared" si="4"/>
        <v>5059.090909090909</v>
      </c>
      <c r="J7" s="9">
        <f t="shared" si="5"/>
        <v>505.90909090909093</v>
      </c>
      <c r="K7" s="11">
        <f>400+400+8600+1000</f>
        <v>10400</v>
      </c>
      <c r="L7" s="9">
        <f t="shared" si="6"/>
        <v>8666.6666666666679</v>
      </c>
      <c r="M7" s="9">
        <f t="shared" si="7"/>
        <v>1733.3333333333337</v>
      </c>
      <c r="N7" s="9">
        <v>0</v>
      </c>
      <c r="O7" s="9">
        <f t="shared" si="8"/>
        <v>0</v>
      </c>
      <c r="P7" s="9">
        <f t="shared" si="9"/>
        <v>0</v>
      </c>
      <c r="Q7" s="11">
        <f>4350</f>
        <v>4350</v>
      </c>
      <c r="R7" s="11">
        <f>4000+1425+3300+81885-900</f>
        <v>89710</v>
      </c>
      <c r="S7" s="11">
        <v>900</v>
      </c>
      <c r="T7" s="9">
        <v>0</v>
      </c>
      <c r="U7" s="17">
        <v>31970</v>
      </c>
      <c r="V7" s="3"/>
    </row>
    <row r="8" spans="1:22" x14ac:dyDescent="0.3">
      <c r="A8" s="8">
        <v>45817</v>
      </c>
      <c r="B8" s="11">
        <f>25995</f>
        <v>25995</v>
      </c>
      <c r="C8" s="9">
        <f t="shared" si="0"/>
        <v>23631.81818181818</v>
      </c>
      <c r="D8" s="9">
        <f t="shared" si="1"/>
        <v>2363.181818181818</v>
      </c>
      <c r="E8" s="11">
        <f>11421+2450</f>
        <v>13871</v>
      </c>
      <c r="F8" s="9">
        <f t="shared" si="2"/>
        <v>11559.166666666668</v>
      </c>
      <c r="G8" s="9">
        <f t="shared" si="3"/>
        <v>2311.8333333333335</v>
      </c>
      <c r="H8" s="11">
        <f>3220+1275</f>
        <v>4495</v>
      </c>
      <c r="I8" s="9">
        <f t="shared" si="4"/>
        <v>4086.363636363636</v>
      </c>
      <c r="J8" s="9">
        <f t="shared" si="5"/>
        <v>408.63636363636363</v>
      </c>
      <c r="K8" s="11">
        <f>3800+1400</f>
        <v>5200</v>
      </c>
      <c r="L8" s="9">
        <f t="shared" si="6"/>
        <v>4333.3333333333339</v>
      </c>
      <c r="M8" s="9">
        <f t="shared" si="7"/>
        <v>866.66666666666686</v>
      </c>
      <c r="N8" s="9">
        <v>0</v>
      </c>
      <c r="O8" s="9">
        <f t="shared" si="8"/>
        <v>0</v>
      </c>
      <c r="P8" s="9">
        <f t="shared" si="9"/>
        <v>0</v>
      </c>
      <c r="Q8" s="9">
        <f>0</f>
        <v>0</v>
      </c>
      <c r="R8" s="11">
        <f>36981+5125</f>
        <v>42106</v>
      </c>
      <c r="S8" s="11">
        <v>7455</v>
      </c>
      <c r="T8" s="9">
        <v>0</v>
      </c>
      <c r="U8" s="14">
        <v>0</v>
      </c>
      <c r="V8" s="3"/>
    </row>
    <row r="9" spans="1:22" x14ac:dyDescent="0.3">
      <c r="A9" s="8">
        <v>45818</v>
      </c>
      <c r="B9" s="11">
        <f>11005+32645</f>
        <v>43650</v>
      </c>
      <c r="C9" s="9">
        <f t="shared" si="0"/>
        <v>39681.818181818177</v>
      </c>
      <c r="D9" s="9">
        <f t="shared" si="1"/>
        <v>3968.181818181818</v>
      </c>
      <c r="E9" s="11">
        <f>2450+6350+14250</f>
        <v>23050</v>
      </c>
      <c r="F9" s="9">
        <f t="shared" si="2"/>
        <v>19208.333333333336</v>
      </c>
      <c r="G9" s="9">
        <f t="shared" si="3"/>
        <v>3841.6666666666674</v>
      </c>
      <c r="H9" s="11">
        <f>1400+840</f>
        <v>2240</v>
      </c>
      <c r="I9" s="9">
        <f t="shared" si="4"/>
        <v>2036.3636363636363</v>
      </c>
      <c r="J9" s="9">
        <f t="shared" si="5"/>
        <v>203.63636363636363</v>
      </c>
      <c r="K9" s="11">
        <f>400+2600+4000</f>
        <v>7000</v>
      </c>
      <c r="L9" s="9">
        <f t="shared" si="6"/>
        <v>5833.3333333333339</v>
      </c>
      <c r="M9" s="9">
        <f t="shared" si="7"/>
        <v>1166.6666666666667</v>
      </c>
      <c r="N9" s="11">
        <v>540</v>
      </c>
      <c r="O9" s="9">
        <f t="shared" si="8"/>
        <v>450</v>
      </c>
      <c r="P9" s="9">
        <f t="shared" si="9"/>
        <v>90</v>
      </c>
      <c r="Q9" s="11">
        <f>6245+9560</f>
        <v>15805</v>
      </c>
      <c r="R9" s="11">
        <f>2850+15110+42715</f>
        <v>60675</v>
      </c>
      <c r="S9" s="9">
        <v>0</v>
      </c>
      <c r="T9" s="11">
        <v>100000</v>
      </c>
      <c r="U9" s="17">
        <v>60710</v>
      </c>
      <c r="V9" s="3"/>
    </row>
    <row r="10" spans="1:22" x14ac:dyDescent="0.3">
      <c r="A10" s="8">
        <v>45819</v>
      </c>
      <c r="B10" s="11">
        <f>2795+31455</f>
        <v>34250</v>
      </c>
      <c r="C10" s="9">
        <f t="shared" si="0"/>
        <v>31136.363636363632</v>
      </c>
      <c r="D10" s="9">
        <f t="shared" si="1"/>
        <v>3113.6363636363635</v>
      </c>
      <c r="E10" s="11">
        <f>8535+1250</f>
        <v>9785</v>
      </c>
      <c r="F10" s="9">
        <f t="shared" si="2"/>
        <v>8154.166666666667</v>
      </c>
      <c r="G10" s="9">
        <f t="shared" si="3"/>
        <v>1630.8333333333335</v>
      </c>
      <c r="H10" s="11">
        <f>270+2135</f>
        <v>2405</v>
      </c>
      <c r="I10" s="9">
        <f t="shared" si="4"/>
        <v>2186.363636363636</v>
      </c>
      <c r="J10" s="9">
        <f t="shared" si="5"/>
        <v>218.63636363636363</v>
      </c>
      <c r="K10" s="11">
        <f>400+3800+400</f>
        <v>4600</v>
      </c>
      <c r="L10" s="9">
        <f t="shared" si="6"/>
        <v>3833.3333333333335</v>
      </c>
      <c r="M10" s="9">
        <f t="shared" si="7"/>
        <v>766.66666666666674</v>
      </c>
      <c r="N10" s="9">
        <v>0</v>
      </c>
      <c r="O10" s="9">
        <f t="shared" si="8"/>
        <v>0</v>
      </c>
      <c r="P10" s="9">
        <f t="shared" si="9"/>
        <v>0</v>
      </c>
      <c r="Q10" s="9">
        <f>0</f>
        <v>0</v>
      </c>
      <c r="R10" s="11">
        <f>3465+45925+1650</f>
        <v>51040</v>
      </c>
      <c r="S10" s="9">
        <v>0</v>
      </c>
      <c r="T10" s="9">
        <v>0</v>
      </c>
      <c r="U10" s="17">
        <v>10275</v>
      </c>
      <c r="V10" s="3"/>
    </row>
    <row r="11" spans="1:22" x14ac:dyDescent="0.3">
      <c r="A11" s="8">
        <v>45820</v>
      </c>
      <c r="B11" s="11">
        <f>41115+5700+9120</f>
        <v>55935</v>
      </c>
      <c r="C11" s="9">
        <f t="shared" si="0"/>
        <v>50849.999999999993</v>
      </c>
      <c r="D11" s="9">
        <f t="shared" si="1"/>
        <v>5085</v>
      </c>
      <c r="E11" s="11">
        <f>13460+6050+3570</f>
        <v>23080</v>
      </c>
      <c r="F11" s="9">
        <f t="shared" si="2"/>
        <v>19233.333333333336</v>
      </c>
      <c r="G11" s="9">
        <f t="shared" si="3"/>
        <v>3846.6666666666674</v>
      </c>
      <c r="H11" s="11">
        <f>3560+1075</f>
        <v>4635</v>
      </c>
      <c r="I11" s="9">
        <f t="shared" si="4"/>
        <v>4213.6363636363631</v>
      </c>
      <c r="J11" s="9">
        <f t="shared" si="5"/>
        <v>421.36363636363632</v>
      </c>
      <c r="K11" s="11">
        <f>5200+2600+800</f>
        <v>8600</v>
      </c>
      <c r="L11" s="9">
        <f t="shared" si="6"/>
        <v>7166.666666666667</v>
      </c>
      <c r="M11" s="9">
        <f t="shared" si="7"/>
        <v>1433.3333333333335</v>
      </c>
      <c r="N11" s="11">
        <f>620+2729</f>
        <v>3349</v>
      </c>
      <c r="O11" s="9">
        <f t="shared" si="8"/>
        <v>2790.8333333333335</v>
      </c>
      <c r="P11" s="9">
        <f t="shared" si="9"/>
        <v>558.16666666666674</v>
      </c>
      <c r="Q11" s="11">
        <f>1600</f>
        <v>1600</v>
      </c>
      <c r="R11" s="11">
        <f>66064+13825+14110</f>
        <v>93999</v>
      </c>
      <c r="S11" s="9">
        <v>0</v>
      </c>
      <c r="T11" s="9">
        <v>0</v>
      </c>
      <c r="U11" s="17">
        <f>7620+12115</f>
        <v>19735</v>
      </c>
      <c r="V11" s="3"/>
    </row>
    <row r="12" spans="1:22" x14ac:dyDescent="0.3">
      <c r="A12" s="8">
        <v>45821</v>
      </c>
      <c r="B12" s="11">
        <f>20740.6+3890+15325</f>
        <v>39955.599999999999</v>
      </c>
      <c r="C12" s="9">
        <f t="shared" si="0"/>
        <v>36323.272727272721</v>
      </c>
      <c r="D12" s="9">
        <f t="shared" si="1"/>
        <v>3632.3272727272724</v>
      </c>
      <c r="E12" s="11">
        <f>1200+8150+950+4705</f>
        <v>15005</v>
      </c>
      <c r="F12" s="9">
        <f t="shared" si="2"/>
        <v>12504.166666666668</v>
      </c>
      <c r="G12" s="9">
        <f t="shared" si="3"/>
        <v>2500.8333333333339</v>
      </c>
      <c r="H12" s="11">
        <f>684.4+270+705</f>
        <v>1659.4</v>
      </c>
      <c r="I12" s="9">
        <f t="shared" si="4"/>
        <v>1508.5454545454545</v>
      </c>
      <c r="J12" s="9">
        <f t="shared" si="5"/>
        <v>150.85454545454544</v>
      </c>
      <c r="K12" s="11">
        <f>1600+400+1800</f>
        <v>3800</v>
      </c>
      <c r="L12" s="9">
        <f t="shared" si="6"/>
        <v>3166.666666666667</v>
      </c>
      <c r="M12" s="9">
        <f t="shared" si="7"/>
        <v>633.33333333333348</v>
      </c>
      <c r="N12" s="11">
        <v>368</v>
      </c>
      <c r="O12" s="9">
        <f t="shared" si="8"/>
        <v>306.66666666666669</v>
      </c>
      <c r="P12" s="9">
        <f t="shared" si="9"/>
        <v>61.333333333333343</v>
      </c>
      <c r="Q12" s="11">
        <f>1200+275</f>
        <v>1475</v>
      </c>
      <c r="R12" s="11">
        <f>7875+24343+4560+22535</f>
        <v>59313</v>
      </c>
      <c r="S12" s="9">
        <v>0</v>
      </c>
      <c r="T12" s="11">
        <v>7532.5</v>
      </c>
      <c r="U12" s="17">
        <f>28265+17450+24125+49805</f>
        <v>119645</v>
      </c>
      <c r="V12" s="3"/>
    </row>
    <row r="13" spans="1:22" x14ac:dyDescent="0.3">
      <c r="A13" s="8">
        <v>45822</v>
      </c>
      <c r="B13" s="11">
        <f>2000+2040+12890+45930.14</f>
        <v>62860.14</v>
      </c>
      <c r="C13" s="9">
        <f t="shared" si="0"/>
        <v>57145.58181818181</v>
      </c>
      <c r="D13" s="9">
        <f t="shared" si="1"/>
        <v>5714.5581818181818</v>
      </c>
      <c r="E13" s="11">
        <f>4000+6875+22625+23550+21718.89+1400</f>
        <v>80168.89</v>
      </c>
      <c r="F13" s="9">
        <f t="shared" si="2"/>
        <v>66807.40833333334</v>
      </c>
      <c r="G13" s="9">
        <f t="shared" si="3"/>
        <v>13361.481666666668</v>
      </c>
      <c r="H13" s="11">
        <f>660+225+2040+485</f>
        <v>3410</v>
      </c>
      <c r="I13" s="9">
        <f t="shared" si="4"/>
        <v>3099.9999999999995</v>
      </c>
      <c r="J13" s="9">
        <f t="shared" si="5"/>
        <v>310</v>
      </c>
      <c r="K13" s="11">
        <f>400+1600+4565.97</f>
        <v>6565.97</v>
      </c>
      <c r="L13" s="9">
        <f t="shared" si="6"/>
        <v>5471.6416666666673</v>
      </c>
      <c r="M13" s="9">
        <f t="shared" si="7"/>
        <v>1094.3283333333336</v>
      </c>
      <c r="N13" s="11">
        <f>400+600</f>
        <v>1000</v>
      </c>
      <c r="O13" s="9">
        <f t="shared" si="8"/>
        <v>833.33333333333337</v>
      </c>
      <c r="P13" s="9">
        <f t="shared" si="9"/>
        <v>166.66666666666669</v>
      </c>
      <c r="Q13" s="11">
        <f>85+300+2190+600</f>
        <v>3175</v>
      </c>
      <c r="R13" s="11">
        <f>6575+9415+22250+38490+72100+1400</f>
        <v>150230</v>
      </c>
      <c r="S13" s="11">
        <v>600</v>
      </c>
      <c r="T13" s="11">
        <v>35000</v>
      </c>
      <c r="U13" s="17">
        <f>500+23520</f>
        <v>24020</v>
      </c>
      <c r="V13" s="3"/>
    </row>
    <row r="14" spans="1:22" x14ac:dyDescent="0.3">
      <c r="A14" s="8">
        <v>45823</v>
      </c>
      <c r="B14" s="11">
        <f>11045+25671.08</f>
        <v>36716.080000000002</v>
      </c>
      <c r="C14" s="9">
        <f t="shared" si="0"/>
        <v>33378.254545454547</v>
      </c>
      <c r="D14" s="9">
        <f t="shared" si="1"/>
        <v>3337.8254545454547</v>
      </c>
      <c r="E14" s="11">
        <f>15650+10977.6</f>
        <v>26627.599999999999</v>
      </c>
      <c r="F14" s="9">
        <f t="shared" si="2"/>
        <v>22189.666666666668</v>
      </c>
      <c r="G14" s="9">
        <f t="shared" si="3"/>
        <v>4437.9333333333334</v>
      </c>
      <c r="H14" s="11">
        <f>425+1675</f>
        <v>2100</v>
      </c>
      <c r="I14" s="9">
        <f t="shared" si="4"/>
        <v>1909.090909090909</v>
      </c>
      <c r="J14" s="9">
        <f t="shared" si="5"/>
        <v>190.90909090909091</v>
      </c>
      <c r="K14" s="11">
        <f>2000+3581.32</f>
        <v>5581.32</v>
      </c>
      <c r="L14" s="9">
        <f t="shared" si="6"/>
        <v>4651.1000000000004</v>
      </c>
      <c r="M14" s="9">
        <f t="shared" si="7"/>
        <v>930.22000000000014</v>
      </c>
      <c r="N14" s="9">
        <v>0</v>
      </c>
      <c r="O14" s="9">
        <f t="shared" si="8"/>
        <v>0</v>
      </c>
      <c r="P14" s="9">
        <f t="shared" si="9"/>
        <v>0</v>
      </c>
      <c r="Q14" s="11">
        <f>8000+4345</f>
        <v>12345</v>
      </c>
      <c r="R14" s="11">
        <f>21120+43775-11560</f>
        <v>53335</v>
      </c>
      <c r="S14" s="11">
        <v>5345</v>
      </c>
      <c r="T14" s="9">
        <v>0</v>
      </c>
      <c r="U14" s="17">
        <f>19750+11560</f>
        <v>31310</v>
      </c>
      <c r="V14" s="3"/>
    </row>
    <row r="15" spans="1:22" x14ac:dyDescent="0.3">
      <c r="A15" s="8">
        <v>45825</v>
      </c>
      <c r="B15" s="11">
        <f>1250+16425+154.4+2500+37570</f>
        <v>57899.4</v>
      </c>
      <c r="C15" s="9">
        <f t="shared" si="0"/>
        <v>52635.818181818177</v>
      </c>
      <c r="D15" s="9">
        <f t="shared" si="1"/>
        <v>5263.5818181818177</v>
      </c>
      <c r="E15" s="11">
        <f>18520+600+11280</f>
        <v>30400</v>
      </c>
      <c r="F15" s="9">
        <f t="shared" si="2"/>
        <v>25333.333333333336</v>
      </c>
      <c r="G15" s="9">
        <f t="shared" si="3"/>
        <v>5066.6666666666679</v>
      </c>
      <c r="H15" s="11">
        <f>270+1185</f>
        <v>1455</v>
      </c>
      <c r="I15" s="9">
        <f t="shared" si="4"/>
        <v>1322.7272727272725</v>
      </c>
      <c r="J15" s="9">
        <f t="shared" si="5"/>
        <v>132.27272727272725</v>
      </c>
      <c r="K15" s="11">
        <f>1200+200+4000</f>
        <v>5400</v>
      </c>
      <c r="L15" s="9">
        <f t="shared" si="6"/>
        <v>4500</v>
      </c>
      <c r="M15" s="9">
        <f t="shared" si="7"/>
        <v>900</v>
      </c>
      <c r="N15" s="11">
        <f>3325</f>
        <v>3325</v>
      </c>
      <c r="O15" s="9">
        <f t="shared" si="8"/>
        <v>2770.8333333333335</v>
      </c>
      <c r="P15" s="9">
        <f t="shared" si="9"/>
        <v>554.16666666666674</v>
      </c>
      <c r="Q15" s="11">
        <f>1250+4235+2500+150</f>
        <v>8135</v>
      </c>
      <c r="R15" s="11">
        <f>53885+35505+954.4-3100</f>
        <v>87244.4</v>
      </c>
      <c r="S15" s="11">
        <f>1250+1850</f>
        <v>3100</v>
      </c>
      <c r="T15" s="9">
        <v>0</v>
      </c>
      <c r="U15" s="17">
        <f>21520+8840+12374.3+60750</f>
        <v>103484.3</v>
      </c>
      <c r="V15" s="3"/>
    </row>
    <row r="16" spans="1:22" x14ac:dyDescent="0.3">
      <c r="A16" s="8">
        <v>45826</v>
      </c>
      <c r="B16" s="11">
        <f>35990+13580</f>
        <v>49570</v>
      </c>
      <c r="C16" s="9">
        <f t="shared" si="0"/>
        <v>45063.63636363636</v>
      </c>
      <c r="D16" s="9">
        <f t="shared" si="1"/>
        <v>4506.363636363636</v>
      </c>
      <c r="E16" s="11">
        <f>17880+7325+1850+3700</f>
        <v>30755</v>
      </c>
      <c r="F16" s="9">
        <f t="shared" si="2"/>
        <v>25629.166666666668</v>
      </c>
      <c r="G16" s="9">
        <f t="shared" si="3"/>
        <v>5125.8333333333339</v>
      </c>
      <c r="H16" s="11">
        <f>1265</f>
        <v>1265</v>
      </c>
      <c r="I16" s="9">
        <f t="shared" si="4"/>
        <v>1150</v>
      </c>
      <c r="J16" s="9">
        <f t="shared" si="5"/>
        <v>115</v>
      </c>
      <c r="K16" s="11">
        <f>4000+1600+400+600</f>
        <v>6600</v>
      </c>
      <c r="L16" s="9">
        <f t="shared" si="6"/>
        <v>5500</v>
      </c>
      <c r="M16" s="9">
        <f t="shared" si="7"/>
        <v>1100</v>
      </c>
      <c r="N16" s="11">
        <v>670</v>
      </c>
      <c r="O16" s="9">
        <f t="shared" si="8"/>
        <v>558.33333333333337</v>
      </c>
      <c r="P16" s="9">
        <f t="shared" si="9"/>
        <v>111.66666666666669</v>
      </c>
      <c r="Q16" s="11">
        <f>1250</f>
        <v>1250</v>
      </c>
      <c r="R16" s="11">
        <f>59135+23175+2250+3050</f>
        <v>87610</v>
      </c>
      <c r="S16" s="9">
        <v>0</v>
      </c>
      <c r="T16" s="9">
        <v>0</v>
      </c>
      <c r="U16" s="17">
        <f>38960+16765</f>
        <v>55725</v>
      </c>
      <c r="V16" s="3"/>
    </row>
    <row r="17" spans="1:22" x14ac:dyDescent="0.3">
      <c r="A17" s="8">
        <v>45827</v>
      </c>
      <c r="B17" s="11">
        <f>38495+5550+1695</f>
        <v>45740</v>
      </c>
      <c r="C17" s="9">
        <f t="shared" si="0"/>
        <v>41581.818181818177</v>
      </c>
      <c r="D17" s="9">
        <f t="shared" si="1"/>
        <v>4158.181818181818</v>
      </c>
      <c r="E17" s="11">
        <f>8810+5250+4650</f>
        <v>18710</v>
      </c>
      <c r="F17" s="9">
        <f t="shared" si="2"/>
        <v>15591.666666666668</v>
      </c>
      <c r="G17" s="9">
        <f t="shared" si="3"/>
        <v>3118.3333333333339</v>
      </c>
      <c r="H17" s="11">
        <f>830+625</f>
        <v>1455</v>
      </c>
      <c r="I17" s="9">
        <f t="shared" si="4"/>
        <v>1322.7272727272725</v>
      </c>
      <c r="J17" s="9">
        <f t="shared" si="5"/>
        <v>132.27272727272725</v>
      </c>
      <c r="K17" s="11">
        <f>3800+800</f>
        <v>4600</v>
      </c>
      <c r="L17" s="9">
        <f t="shared" si="6"/>
        <v>3833.3333333333335</v>
      </c>
      <c r="M17" s="9">
        <f t="shared" si="7"/>
        <v>766.66666666666674</v>
      </c>
      <c r="N17" s="11">
        <v>215</v>
      </c>
      <c r="O17" s="9">
        <f t="shared" si="8"/>
        <v>179.16666666666669</v>
      </c>
      <c r="P17" s="9">
        <f t="shared" si="9"/>
        <v>35.833333333333336</v>
      </c>
      <c r="Q17" s="11">
        <v>2000</v>
      </c>
      <c r="R17" s="11">
        <f>47150+10225+6345</f>
        <v>63720</v>
      </c>
      <c r="S17" s="11">
        <v>5000</v>
      </c>
      <c r="T17" s="9">
        <v>0</v>
      </c>
      <c r="U17" s="17">
        <f>11935+13550</f>
        <v>25485</v>
      </c>
      <c r="V17" s="3"/>
    </row>
    <row r="18" spans="1:22" x14ac:dyDescent="0.3">
      <c r="A18" s="8">
        <v>45828</v>
      </c>
      <c r="B18" s="11">
        <f>350+11595+51740</f>
        <v>63685</v>
      </c>
      <c r="C18" s="9">
        <f t="shared" si="0"/>
        <v>57895.454545454544</v>
      </c>
      <c r="D18" s="9">
        <f t="shared" si="1"/>
        <v>5789.545454545455</v>
      </c>
      <c r="E18" s="11">
        <f>6600+1200+5450+11165</f>
        <v>24415</v>
      </c>
      <c r="F18" s="9">
        <f t="shared" ref="F18:F23" si="10">E18/1.2</f>
        <v>20345.833333333336</v>
      </c>
      <c r="G18" s="9">
        <f t="shared" si="3"/>
        <v>4069.1666666666674</v>
      </c>
      <c r="H18" s="11">
        <f>425+2135</f>
        <v>2560</v>
      </c>
      <c r="I18" s="9">
        <f t="shared" ref="I18:I23" si="11">H18/1.1</f>
        <v>2327.272727272727</v>
      </c>
      <c r="J18" s="9">
        <f t="shared" si="5"/>
        <v>232.72727272727272</v>
      </c>
      <c r="K18" s="11">
        <f>1600+400+800+4800</f>
        <v>7600</v>
      </c>
      <c r="L18" s="9">
        <f t="shared" si="6"/>
        <v>6333.3333333333339</v>
      </c>
      <c r="M18" s="9">
        <f t="shared" si="7"/>
        <v>1266.666666666667</v>
      </c>
      <c r="N18" s="11">
        <v>400</v>
      </c>
      <c r="O18" s="9">
        <f t="shared" si="8"/>
        <v>333.33333333333337</v>
      </c>
      <c r="P18" s="9">
        <f t="shared" si="9"/>
        <v>66.666666666666671</v>
      </c>
      <c r="Q18" s="9">
        <f>0</f>
        <v>0</v>
      </c>
      <c r="R18" s="11">
        <f>8625+1950+17845+70240-3485</f>
        <v>95175</v>
      </c>
      <c r="S18" s="11">
        <v>3485</v>
      </c>
      <c r="T18" s="9">
        <v>0</v>
      </c>
      <c r="U18" s="17">
        <v>20515</v>
      </c>
      <c r="V18" s="3"/>
    </row>
    <row r="19" spans="1:22" x14ac:dyDescent="0.3">
      <c r="A19" s="8">
        <v>45829</v>
      </c>
      <c r="B19" s="11">
        <f>8685+9800+7785+450+85145</f>
        <v>111865</v>
      </c>
      <c r="C19" s="9">
        <f t="shared" si="0"/>
        <v>101695.45454545454</v>
      </c>
      <c r="D19" s="9">
        <f t="shared" si="1"/>
        <v>10169.545454545456</v>
      </c>
      <c r="E19" s="11">
        <f>10700+3600+5045+6520+19505</f>
        <v>45370</v>
      </c>
      <c r="F19" s="9">
        <f t="shared" si="10"/>
        <v>37808.333333333336</v>
      </c>
      <c r="G19" s="9">
        <f t="shared" si="3"/>
        <v>7561.6666666666679</v>
      </c>
      <c r="H19" s="11">
        <f>2550+270+425+985+4395</f>
        <v>8625</v>
      </c>
      <c r="I19" s="9">
        <f t="shared" si="11"/>
        <v>7840.9090909090901</v>
      </c>
      <c r="J19" s="9">
        <f t="shared" si="5"/>
        <v>784.09090909090901</v>
      </c>
      <c r="K19" s="11">
        <f>4800+1400+1400+2400+10400</f>
        <v>20400</v>
      </c>
      <c r="L19" s="9">
        <f t="shared" si="6"/>
        <v>17000</v>
      </c>
      <c r="M19" s="9">
        <f t="shared" si="7"/>
        <v>3400</v>
      </c>
      <c r="N19" s="11">
        <f>750+600</f>
        <v>1350</v>
      </c>
      <c r="O19" s="9">
        <f t="shared" ref="O19:O23" si="12">N19/1.2</f>
        <v>1125</v>
      </c>
      <c r="P19" s="9">
        <f t="shared" si="9"/>
        <v>225</v>
      </c>
      <c r="Q19" s="11">
        <f>6115+3000</f>
        <v>9115</v>
      </c>
      <c r="R19" s="11">
        <f>27485+15070+14655+7355+113930</f>
        <v>178495</v>
      </c>
      <c r="S19" s="9">
        <v>0</v>
      </c>
      <c r="T19" s="11">
        <v>23965</v>
      </c>
      <c r="U19" s="17">
        <f>19830+13950</f>
        <v>33780</v>
      </c>
      <c r="V19" s="3"/>
    </row>
    <row r="20" spans="1:22" x14ac:dyDescent="0.3">
      <c r="A20" s="8">
        <v>45830</v>
      </c>
      <c r="B20" s="11">
        <f>52720+3365+4280</f>
        <v>60365</v>
      </c>
      <c r="C20" s="9">
        <f t="shared" si="0"/>
        <v>54877.272727272721</v>
      </c>
      <c r="D20" s="9">
        <f t="shared" si="1"/>
        <v>5487.7272727272721</v>
      </c>
      <c r="E20" s="11">
        <f>8685+675+11100</f>
        <v>20460</v>
      </c>
      <c r="F20" s="9">
        <f t="shared" si="10"/>
        <v>17050</v>
      </c>
      <c r="G20" s="9">
        <f t="shared" si="3"/>
        <v>3410</v>
      </c>
      <c r="H20" s="11">
        <f>3660+285+1700</f>
        <v>5645</v>
      </c>
      <c r="I20" s="9">
        <f t="shared" si="11"/>
        <v>5131.8181818181811</v>
      </c>
      <c r="J20" s="9">
        <f t="shared" si="5"/>
        <v>513.18181818181813</v>
      </c>
      <c r="K20" s="11">
        <f>5800+400+3600</f>
        <v>9800</v>
      </c>
      <c r="L20" s="9">
        <f t="shared" si="6"/>
        <v>8166.666666666667</v>
      </c>
      <c r="M20" s="9">
        <f t="shared" si="7"/>
        <v>1633.3333333333335</v>
      </c>
      <c r="N20" s="9">
        <v>0</v>
      </c>
      <c r="O20" s="9">
        <f t="shared" si="12"/>
        <v>0</v>
      </c>
      <c r="P20" s="9">
        <f t="shared" si="9"/>
        <v>0</v>
      </c>
      <c r="Q20" s="11">
        <f>4235</f>
        <v>4235</v>
      </c>
      <c r="R20" s="11">
        <f>70865+4725+13370</f>
        <v>88960</v>
      </c>
      <c r="S20" s="11">
        <v>3075</v>
      </c>
      <c r="T20" s="9">
        <v>0</v>
      </c>
      <c r="U20" s="14">
        <v>0</v>
      </c>
      <c r="V20" s="3"/>
    </row>
    <row r="21" spans="1:22" x14ac:dyDescent="0.3">
      <c r="A21" s="8">
        <v>45832</v>
      </c>
      <c r="B21" s="11">
        <f>13165+13295+250+35530</f>
        <v>62240</v>
      </c>
      <c r="C21" s="9">
        <f t="shared" si="0"/>
        <v>56581.818181818177</v>
      </c>
      <c r="D21" s="9">
        <f t="shared" si="1"/>
        <v>5658.181818181818</v>
      </c>
      <c r="E21" s="11">
        <f>11550+5625+6300+9990</f>
        <v>33465</v>
      </c>
      <c r="F21" s="9">
        <f t="shared" si="10"/>
        <v>27887.5</v>
      </c>
      <c r="G21" s="9">
        <f t="shared" si="3"/>
        <v>5577.5</v>
      </c>
      <c r="H21" s="11">
        <f>1275+1275+4675</f>
        <v>7225</v>
      </c>
      <c r="I21" s="9">
        <f t="shared" si="11"/>
        <v>6568.181818181818</v>
      </c>
      <c r="J21" s="9">
        <f t="shared" si="5"/>
        <v>656.81818181818187</v>
      </c>
      <c r="K21" s="11">
        <f>2400+1200+1800+3800</f>
        <v>9200</v>
      </c>
      <c r="L21" s="9">
        <f t="shared" si="6"/>
        <v>7666.666666666667</v>
      </c>
      <c r="M21" s="9">
        <f t="shared" si="7"/>
        <v>1533.3333333333335</v>
      </c>
      <c r="N21" s="11">
        <v>540</v>
      </c>
      <c r="O21" s="9">
        <f t="shared" si="12"/>
        <v>450</v>
      </c>
      <c r="P21" s="9">
        <f t="shared" si="9"/>
        <v>90</v>
      </c>
      <c r="Q21" s="11">
        <f>1650+2500</f>
        <v>4150</v>
      </c>
      <c r="R21" s="11">
        <f>25465+21395+7125-3450+54535</f>
        <v>105070</v>
      </c>
      <c r="S21" s="11">
        <v>3450</v>
      </c>
      <c r="T21" s="9">
        <v>0</v>
      </c>
      <c r="U21" s="17">
        <f>27370+13380+20560</f>
        <v>61310</v>
      </c>
      <c r="V21" s="3"/>
    </row>
    <row r="22" spans="1:22" x14ac:dyDescent="0.3">
      <c r="A22" s="8">
        <v>45833</v>
      </c>
      <c r="B22" s="11">
        <f>2495+2895+9540+32845</f>
        <v>47775</v>
      </c>
      <c r="C22" s="9">
        <f t="shared" si="0"/>
        <v>43431.818181818177</v>
      </c>
      <c r="D22" s="9">
        <f t="shared" si="1"/>
        <v>4343.181818181818</v>
      </c>
      <c r="E22" s="11">
        <f>3600+8625+8990</f>
        <v>21215</v>
      </c>
      <c r="F22" s="9">
        <f t="shared" si="10"/>
        <v>17679.166666666668</v>
      </c>
      <c r="G22" s="9">
        <f t="shared" si="3"/>
        <v>3535.8333333333339</v>
      </c>
      <c r="H22" s="11">
        <f>850+1745+1485</f>
        <v>4080</v>
      </c>
      <c r="I22" s="9">
        <f t="shared" si="11"/>
        <v>3709.090909090909</v>
      </c>
      <c r="J22" s="9">
        <f t="shared" si="5"/>
        <v>370.90909090909093</v>
      </c>
      <c r="K22" s="11">
        <f>400+400+2400+4200</f>
        <v>7400</v>
      </c>
      <c r="L22" s="9">
        <f t="shared" si="6"/>
        <v>6166.666666666667</v>
      </c>
      <c r="M22" s="9">
        <f t="shared" si="7"/>
        <v>1233.3333333333335</v>
      </c>
      <c r="N22" s="11">
        <v>650</v>
      </c>
      <c r="O22" s="9">
        <f t="shared" si="12"/>
        <v>541.66666666666674</v>
      </c>
      <c r="P22" s="9">
        <f t="shared" si="9"/>
        <v>108.33333333333336</v>
      </c>
      <c r="Q22" s="9">
        <f>0</f>
        <v>0</v>
      </c>
      <c r="R22" s="11">
        <f>6495+4145+22960+47520</f>
        <v>81120</v>
      </c>
      <c r="S22" s="9">
        <v>0</v>
      </c>
      <c r="T22" s="11">
        <v>9995</v>
      </c>
      <c r="U22" s="17">
        <f>10430</f>
        <v>10430</v>
      </c>
      <c r="V22" s="3"/>
    </row>
    <row r="23" spans="1:22" x14ac:dyDescent="0.3">
      <c r="A23" s="8">
        <v>45834</v>
      </c>
      <c r="B23" s="11">
        <f>40985</f>
        <v>40985</v>
      </c>
      <c r="C23" s="9">
        <f t="shared" si="0"/>
        <v>37259.090909090904</v>
      </c>
      <c r="D23" s="9">
        <f t="shared" si="1"/>
        <v>3725.9090909090905</v>
      </c>
      <c r="E23" s="11">
        <f>5450+7665</f>
        <v>13115</v>
      </c>
      <c r="F23" s="9">
        <f t="shared" si="10"/>
        <v>10929.166666666668</v>
      </c>
      <c r="G23" s="9">
        <f t="shared" si="3"/>
        <v>2185.8333333333335</v>
      </c>
      <c r="H23" s="11">
        <f>3400+2535</f>
        <v>5935</v>
      </c>
      <c r="I23" s="9">
        <f t="shared" si="11"/>
        <v>5395.454545454545</v>
      </c>
      <c r="J23" s="9">
        <f t="shared" si="5"/>
        <v>539.5454545454545</v>
      </c>
      <c r="K23" s="11">
        <f>1400+4600</f>
        <v>6000</v>
      </c>
      <c r="L23" s="9">
        <f t="shared" si="6"/>
        <v>5000</v>
      </c>
      <c r="M23" s="9">
        <f t="shared" si="7"/>
        <v>1000</v>
      </c>
      <c r="N23" s="11">
        <v>510</v>
      </c>
      <c r="O23" s="9">
        <f t="shared" si="12"/>
        <v>425</v>
      </c>
      <c r="P23" s="9">
        <f t="shared" si="9"/>
        <v>85</v>
      </c>
      <c r="Q23" s="11">
        <f>2550</f>
        <v>2550</v>
      </c>
      <c r="R23" s="11">
        <f>7700+56295</f>
        <v>63995</v>
      </c>
      <c r="S23" s="9">
        <v>0</v>
      </c>
      <c r="T23" s="9">
        <v>0</v>
      </c>
      <c r="U23" s="17">
        <v>14905</v>
      </c>
      <c r="V23" s="3"/>
    </row>
    <row r="24" spans="1:22" x14ac:dyDescent="0.3">
      <c r="A24" s="8">
        <v>45835</v>
      </c>
      <c r="B24" s="11">
        <f>5420+5050+9280+50855</f>
        <v>70605</v>
      </c>
      <c r="C24" s="9">
        <f t="shared" si="0"/>
        <v>64186.363636363632</v>
      </c>
      <c r="D24" s="9">
        <f t="shared" si="1"/>
        <v>6418.636363636364</v>
      </c>
      <c r="E24" s="11">
        <f>4700+4500+7600+17415+9375</f>
        <v>43590</v>
      </c>
      <c r="F24" s="9">
        <f t="shared" si="2"/>
        <v>36325</v>
      </c>
      <c r="G24" s="9">
        <f t="shared" si="3"/>
        <v>7265</v>
      </c>
      <c r="H24" s="11">
        <f>850+850+1200</f>
        <v>2900</v>
      </c>
      <c r="I24" s="9">
        <f t="shared" si="4"/>
        <v>2636.363636363636</v>
      </c>
      <c r="J24" s="9">
        <f t="shared" si="5"/>
        <v>263.63636363636363</v>
      </c>
      <c r="K24" s="11">
        <f>1800+400+2800+2400+6800</f>
        <v>14200</v>
      </c>
      <c r="L24" s="9">
        <f t="shared" si="6"/>
        <v>11833.333333333334</v>
      </c>
      <c r="M24" s="9">
        <f t="shared" si="7"/>
        <v>2366.666666666667</v>
      </c>
      <c r="N24" s="11">
        <v>400</v>
      </c>
      <c r="O24" s="9">
        <f t="shared" si="8"/>
        <v>333.33333333333337</v>
      </c>
      <c r="P24" s="9">
        <f t="shared" si="9"/>
        <v>66.666666666666671</v>
      </c>
      <c r="Q24" s="11">
        <f>6430+300+4100+2220</f>
        <v>13050</v>
      </c>
      <c r="R24" s="11">
        <f>5490+4600+18075+16030+74450</f>
        <v>118645</v>
      </c>
      <c r="S24" s="9">
        <v>0</v>
      </c>
      <c r="T24" s="9">
        <v>0</v>
      </c>
      <c r="U24" s="17">
        <f>11525+38255+1185</f>
        <v>50965</v>
      </c>
      <c r="V24" s="3"/>
    </row>
    <row r="25" spans="1:22" x14ac:dyDescent="0.3">
      <c r="A25" s="8">
        <v>45836</v>
      </c>
      <c r="B25" s="11">
        <f>2045+18660+64625</f>
        <v>85330</v>
      </c>
      <c r="C25" s="9">
        <f t="shared" ref="C25:C26" si="13">B25/1.1</f>
        <v>77572.727272727265</v>
      </c>
      <c r="D25" s="9">
        <f t="shared" si="1"/>
        <v>7757.272727272727</v>
      </c>
      <c r="E25" s="11">
        <f>13100+21795+21890</f>
        <v>56785</v>
      </c>
      <c r="F25" s="9">
        <f t="shared" si="2"/>
        <v>47320.833333333336</v>
      </c>
      <c r="G25" s="9">
        <f t="shared" si="3"/>
        <v>9464.1666666666679</v>
      </c>
      <c r="H25" s="11">
        <f>255+605+2525</f>
        <v>3385</v>
      </c>
      <c r="I25" s="9">
        <f t="shared" si="4"/>
        <v>3077.272727272727</v>
      </c>
      <c r="J25" s="9">
        <f t="shared" si="5"/>
        <v>307.72727272727275</v>
      </c>
      <c r="K25" s="11">
        <f>1800+4200+9400</f>
        <v>15400</v>
      </c>
      <c r="L25" s="9">
        <f t="shared" si="6"/>
        <v>12833.333333333334</v>
      </c>
      <c r="M25" s="9">
        <f t="shared" si="7"/>
        <v>2566.666666666667</v>
      </c>
      <c r="N25" s="9">
        <v>0</v>
      </c>
      <c r="O25" s="9">
        <f t="shared" si="8"/>
        <v>0</v>
      </c>
      <c r="P25" s="9">
        <f t="shared" si="9"/>
        <v>0</v>
      </c>
      <c r="Q25" s="11">
        <f>2950</f>
        <v>2950</v>
      </c>
      <c r="R25" s="11">
        <f>17200+42310+93310</f>
        <v>152820</v>
      </c>
      <c r="S25" s="11">
        <v>5130</v>
      </c>
      <c r="T25" s="9">
        <v>0</v>
      </c>
      <c r="U25" s="17">
        <f>3050+15105+17340</f>
        <v>35495</v>
      </c>
      <c r="V25" s="3" t="s">
        <v>53</v>
      </c>
    </row>
    <row r="26" spans="1:22" x14ac:dyDescent="0.3">
      <c r="A26" s="8">
        <v>45837</v>
      </c>
      <c r="B26" s="11">
        <f>4285+4000+43455</f>
        <v>51740</v>
      </c>
      <c r="C26" s="9">
        <f t="shared" si="13"/>
        <v>47036.363636363632</v>
      </c>
      <c r="D26" s="9">
        <f t="shared" si="1"/>
        <v>4703.6363636363631</v>
      </c>
      <c r="E26" s="11">
        <f>3725+2900+9260</f>
        <v>15885</v>
      </c>
      <c r="F26" s="9">
        <f t="shared" si="2"/>
        <v>13237.5</v>
      </c>
      <c r="G26" s="9">
        <f t="shared" si="3"/>
        <v>2647.5</v>
      </c>
      <c r="H26" s="11">
        <f>200+505</f>
        <v>705</v>
      </c>
      <c r="I26" s="9">
        <f t="shared" si="4"/>
        <v>640.90909090909088</v>
      </c>
      <c r="J26" s="9">
        <f t="shared" si="5"/>
        <v>64.090909090909093</v>
      </c>
      <c r="K26" s="11">
        <f>1400+1000+4000</f>
        <v>6400</v>
      </c>
      <c r="L26" s="9">
        <f t="shared" si="6"/>
        <v>5333.3333333333339</v>
      </c>
      <c r="M26" s="9">
        <f t="shared" si="7"/>
        <v>1066.6666666666667</v>
      </c>
      <c r="N26" s="9">
        <v>0</v>
      </c>
      <c r="O26" s="9">
        <f t="shared" si="8"/>
        <v>0</v>
      </c>
      <c r="P26" s="9">
        <f t="shared" si="9"/>
        <v>0</v>
      </c>
      <c r="Q26" s="11">
        <f>200</f>
        <v>200</v>
      </c>
      <c r="R26" s="11">
        <f>9210+8100+57220</f>
        <v>74530</v>
      </c>
      <c r="S26" s="9">
        <v>0</v>
      </c>
      <c r="T26" s="9">
        <v>0</v>
      </c>
      <c r="U26" s="17">
        <v>14990</v>
      </c>
      <c r="V26" s="3"/>
    </row>
    <row r="27" spans="1:22" x14ac:dyDescent="0.3">
      <c r="B27" s="6">
        <f>SUM(B3:B26)</f>
        <v>1278826.22</v>
      </c>
      <c r="C27" s="10">
        <f>B27/1.1</f>
        <v>1162569.2909090908</v>
      </c>
      <c r="D27" s="10">
        <f t="shared" ref="D27" si="14">C27*10/100</f>
        <v>116256.92909090908</v>
      </c>
      <c r="E27" s="6">
        <f>SUM(E3:E26)</f>
        <v>632377.49</v>
      </c>
      <c r="F27" s="10">
        <f t="shared" si="2"/>
        <v>526981.2416666667</v>
      </c>
      <c r="G27" s="10">
        <f t="shared" ref="G27" si="15">F27*20/100</f>
        <v>105396.24833333334</v>
      </c>
      <c r="H27" s="6">
        <f>SUM(H3:H26)</f>
        <v>80499.399999999994</v>
      </c>
      <c r="I27" s="10">
        <f t="shared" si="4"/>
        <v>73181.272727272721</v>
      </c>
      <c r="J27" s="10">
        <f t="shared" ref="J27" si="16">I27*10/100</f>
        <v>7318.1272727272717</v>
      </c>
      <c r="K27" s="6">
        <f>SUM(K3:K26)</f>
        <v>191547.29</v>
      </c>
      <c r="L27" s="10">
        <f t="shared" si="6"/>
        <v>159622.74166666667</v>
      </c>
      <c r="M27" s="10">
        <f t="shared" ref="M27" si="17">L27*20/100</f>
        <v>31924.548333333336</v>
      </c>
      <c r="N27" s="6">
        <f>SUM(N3:N26)</f>
        <v>14937</v>
      </c>
      <c r="O27" s="10">
        <f t="shared" si="8"/>
        <v>12447.5</v>
      </c>
      <c r="P27" s="10">
        <f t="shared" ref="P27" si="18">O27*20/100</f>
        <v>2489.5</v>
      </c>
      <c r="Q27" s="6">
        <f>SUM(Q3:Q26)</f>
        <v>111010</v>
      </c>
      <c r="R27" s="6">
        <f>SUM(R3:R26)</f>
        <v>2027777.4</v>
      </c>
      <c r="S27" s="6"/>
      <c r="T27" s="6">
        <f>SUM(T3:T26)</f>
        <v>176492.5</v>
      </c>
      <c r="U27" s="6">
        <f>SUM(U3:U26)</f>
        <v>826754.3</v>
      </c>
      <c r="V27" s="3"/>
    </row>
    <row r="28" spans="1:22" x14ac:dyDescent="0.3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2" x14ac:dyDescent="0.3">
      <c r="H29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topLeftCell="H1" workbookViewId="0">
      <pane ySplit="1" topLeftCell="A14" activePane="bottomLeft" state="frozen"/>
      <selection pane="bottomLeft" activeCell="W30" sqref="W30:X30"/>
    </sheetView>
  </sheetViews>
  <sheetFormatPr defaultColWidth="8.88671875" defaultRowHeight="14.4" x14ac:dyDescent="0.3"/>
  <cols>
    <col min="1" max="1" width="12.109375" style="54" bestFit="1" customWidth="1"/>
    <col min="2" max="2" width="11.6640625" style="43" bestFit="1" customWidth="1"/>
    <col min="3" max="3" width="11.5546875" style="43" bestFit="1" customWidth="1"/>
    <col min="4" max="4" width="11.6640625" style="43" bestFit="1" customWidth="1"/>
    <col min="5" max="5" width="15.109375" style="43" bestFit="1" customWidth="1"/>
    <col min="6" max="6" width="11.6640625" style="43" bestFit="1" customWidth="1"/>
    <col min="7" max="7" width="12.33203125" style="43" bestFit="1" customWidth="1"/>
    <col min="8" max="8" width="11.5546875" style="43" bestFit="1" customWidth="1"/>
    <col min="9" max="9" width="10" style="43" bestFit="1" customWidth="1"/>
    <col min="10" max="10" width="12.88671875" style="43" customWidth="1"/>
    <col min="11" max="11" width="11.88671875" style="43" bestFit="1" customWidth="1"/>
    <col min="12" max="13" width="10" style="43" bestFit="1" customWidth="1"/>
    <col min="14" max="14" width="10.109375" style="43" bestFit="1" customWidth="1"/>
    <col min="15" max="15" width="15.109375" style="43" bestFit="1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1.5546875" style="43" hidden="1" customWidth="1"/>
    <col min="21" max="21" width="11.6640625" style="43" hidden="1" customWidth="1"/>
    <col min="22" max="22" width="16.6640625" style="43" hidden="1" customWidth="1"/>
    <col min="23" max="23" width="9.109375" style="43" bestFit="1" customWidth="1"/>
    <col min="24" max="24" width="29.109375" style="43" bestFit="1" customWidth="1"/>
    <col min="25" max="25" width="4.6640625" style="54" bestFit="1" customWidth="1"/>
    <col min="26" max="16384" width="8.88671875" style="43"/>
  </cols>
  <sheetData>
    <row r="1" spans="1:25" x14ac:dyDescent="0.3">
      <c r="A1" s="40" t="s">
        <v>0</v>
      </c>
      <c r="B1" s="41" t="s">
        <v>1</v>
      </c>
      <c r="C1" s="41"/>
      <c r="D1" s="41"/>
      <c r="E1" s="41" t="s">
        <v>2</v>
      </c>
      <c r="F1" s="41"/>
      <c r="G1" s="41"/>
      <c r="H1" s="40" t="s">
        <v>3</v>
      </c>
      <c r="I1" s="41"/>
      <c r="J1" s="41"/>
      <c r="K1" s="40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41"/>
      <c r="U1" s="41"/>
      <c r="V1" s="41"/>
      <c r="W1" s="140" t="s">
        <v>8</v>
      </c>
      <c r="X1" s="141"/>
      <c r="Y1" s="40" t="s">
        <v>10</v>
      </c>
    </row>
    <row r="2" spans="1:25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40"/>
      <c r="R2" s="40"/>
      <c r="S2" s="40"/>
      <c r="T2" s="40"/>
      <c r="U2" s="40"/>
      <c r="V2" s="40"/>
      <c r="W2" s="40" t="s">
        <v>6</v>
      </c>
      <c r="X2" s="46" t="s">
        <v>9</v>
      </c>
      <c r="Y2" s="44"/>
    </row>
    <row r="3" spans="1:25" x14ac:dyDescent="0.3">
      <c r="A3" s="47">
        <v>45870</v>
      </c>
      <c r="B3" s="48">
        <f>1650+3925+22020</f>
        <v>27595</v>
      </c>
      <c r="C3" s="48">
        <f>B3/1.1</f>
        <v>25086.363636363636</v>
      </c>
      <c r="D3" s="48">
        <f>C3*0.1</f>
        <v>2508.636363636364</v>
      </c>
      <c r="E3" s="48">
        <f>10575+6700+3795+6050</f>
        <v>27120</v>
      </c>
      <c r="F3" s="48">
        <f>E3/1.2</f>
        <v>22600</v>
      </c>
      <c r="G3" s="48">
        <f>F3*0.2</f>
        <v>4520</v>
      </c>
      <c r="H3" s="48">
        <f>810+270+430</f>
        <v>1510</v>
      </c>
      <c r="I3" s="48">
        <f>H3/1.1</f>
        <v>1372.7272727272725</v>
      </c>
      <c r="J3" s="48">
        <f>I3*0.1</f>
        <v>137.27272727272725</v>
      </c>
      <c r="K3" s="48">
        <f>3000+1200+400+2800</f>
        <v>7400</v>
      </c>
      <c r="L3" s="48">
        <f>K3/1.2</f>
        <v>6166.666666666667</v>
      </c>
      <c r="M3" s="48">
        <f>L3*0.2</f>
        <v>1233.3333333333335</v>
      </c>
      <c r="N3" s="48">
        <f>1603.5+790+1079.5+2850</f>
        <v>6323</v>
      </c>
      <c r="O3" s="48">
        <f>N3/1.2</f>
        <v>5269.166666666667</v>
      </c>
      <c r="P3" s="48">
        <f>O3*0.2</f>
        <v>1053.8333333333335</v>
      </c>
      <c r="Q3" s="48">
        <f>3252.5</f>
        <v>3252.5</v>
      </c>
      <c r="R3" s="48">
        <f>14386+8690+9469.5+34150</f>
        <v>66695.5</v>
      </c>
      <c r="S3" s="48">
        <v>0</v>
      </c>
      <c r="T3" s="48">
        <f t="shared" ref="T3:T4" si="0">SUM(Q3:S3)</f>
        <v>69948</v>
      </c>
      <c r="U3" s="48">
        <f>E3+H3+K3+N3+B3</f>
        <v>69948</v>
      </c>
      <c r="V3" s="48">
        <f>T3-U3</f>
        <v>0</v>
      </c>
      <c r="W3" s="48">
        <v>0</v>
      </c>
      <c r="X3" s="49">
        <v>52617.5</v>
      </c>
      <c r="Y3" s="44"/>
    </row>
    <row r="4" spans="1:25" s="64" customFormat="1" ht="15" customHeight="1" x14ac:dyDescent="0.3">
      <c r="A4" s="60">
        <v>45871</v>
      </c>
      <c r="B4" s="61">
        <f>49475+5025+14500</f>
        <v>69000</v>
      </c>
      <c r="C4" s="61">
        <f t="shared" ref="C4:C28" si="1">B4/1.1</f>
        <v>62727.272727272721</v>
      </c>
      <c r="D4" s="61">
        <f t="shared" ref="D4:D28" si="2">C4*0.1</f>
        <v>6272.7272727272721</v>
      </c>
      <c r="E4" s="61">
        <f>20435+15675+23645</f>
        <v>59755</v>
      </c>
      <c r="F4" s="61">
        <f t="shared" ref="F4:F30" si="3">E4/1.2</f>
        <v>49795.833333333336</v>
      </c>
      <c r="G4" s="61">
        <f t="shared" ref="G4:G28" si="4">F4*0.2</f>
        <v>9959.1666666666679</v>
      </c>
      <c r="H4" s="61">
        <f>1075+575+185</f>
        <v>1835</v>
      </c>
      <c r="I4" s="61">
        <f t="shared" ref="I4:I30" si="5">H4/1.1</f>
        <v>1668.181818181818</v>
      </c>
      <c r="J4" s="61">
        <f t="shared" ref="J4:J28" si="6">I4*0.1</f>
        <v>166.81818181818181</v>
      </c>
      <c r="K4" s="61">
        <f>7400+2200+3400</f>
        <v>13000</v>
      </c>
      <c r="L4" s="61">
        <f t="shared" ref="L4:L30" si="7">K4/1.2</f>
        <v>10833.333333333334</v>
      </c>
      <c r="M4" s="61">
        <f t="shared" ref="M4:M28" si="8">L4*0.2</f>
        <v>2166.666666666667</v>
      </c>
      <c r="N4" s="61">
        <f>7238.5+1260+3940.5+1500+500</f>
        <v>14439</v>
      </c>
      <c r="O4" s="61">
        <f t="shared" ref="O4:O30" si="9">N4/1.2</f>
        <v>12032.5</v>
      </c>
      <c r="P4" s="61">
        <f t="shared" ref="P4:P28" si="10">O4*0.2</f>
        <v>2406.5</v>
      </c>
      <c r="Q4" s="61">
        <f>3235+2000</f>
        <v>5235</v>
      </c>
      <c r="R4" s="61">
        <f>85623.5-13601+22225+43935.5</f>
        <v>138183</v>
      </c>
      <c r="S4" s="61">
        <f>1010+13601</f>
        <v>14611</v>
      </c>
      <c r="T4" s="61">
        <f t="shared" si="0"/>
        <v>158029</v>
      </c>
      <c r="U4" s="61">
        <f t="shared" ref="U4:U29" si="11">E4+H4+K4+N4+B4</f>
        <v>158029</v>
      </c>
      <c r="V4" s="61">
        <f t="shared" ref="V4:V29" si="12">T4-U4</f>
        <v>0</v>
      </c>
      <c r="W4" s="61">
        <f>2035+3.5+75</f>
        <v>2113.5</v>
      </c>
      <c r="X4" s="62">
        <f>2050+6200+23661.5+37383</f>
        <v>69294.5</v>
      </c>
      <c r="Y4" s="63"/>
    </row>
    <row r="5" spans="1:25" x14ac:dyDescent="0.3">
      <c r="A5" s="47">
        <v>45872</v>
      </c>
      <c r="B5" s="48">
        <f>550+27620+3450</f>
        <v>31620</v>
      </c>
      <c r="C5" s="48">
        <f t="shared" si="1"/>
        <v>28745.454545454544</v>
      </c>
      <c r="D5" s="48">
        <f t="shared" si="2"/>
        <v>2874.5454545454545</v>
      </c>
      <c r="E5" s="48">
        <f>1450+7580</f>
        <v>9030</v>
      </c>
      <c r="F5" s="48">
        <f t="shared" si="3"/>
        <v>7525</v>
      </c>
      <c r="G5" s="48">
        <f t="shared" si="4"/>
        <v>1505</v>
      </c>
      <c r="H5" s="48">
        <f>1725</f>
        <v>1725</v>
      </c>
      <c r="I5" s="48">
        <f t="shared" si="5"/>
        <v>1568.181818181818</v>
      </c>
      <c r="J5" s="48">
        <f t="shared" si="6"/>
        <v>156.81818181818181</v>
      </c>
      <c r="K5" s="48">
        <f>400+3000</f>
        <v>3400</v>
      </c>
      <c r="L5" s="48">
        <f t="shared" si="7"/>
        <v>2833.3333333333335</v>
      </c>
      <c r="M5" s="48">
        <f t="shared" si="8"/>
        <v>566.66666666666674</v>
      </c>
      <c r="N5" s="48">
        <f>440+145+3827.5+750</f>
        <v>5162.5</v>
      </c>
      <c r="O5" s="48">
        <f t="shared" si="9"/>
        <v>4302.0833333333339</v>
      </c>
      <c r="P5" s="48">
        <f t="shared" si="10"/>
        <v>860.41666666666686</v>
      </c>
      <c r="Q5" s="48">
        <f>1265</f>
        <v>1265</v>
      </c>
      <c r="R5" s="48">
        <f>4840+1595+29457.5</f>
        <v>35892.5</v>
      </c>
      <c r="S5" s="48">
        <v>13780</v>
      </c>
      <c r="T5" s="48">
        <f>SUM(Q5:S5)</f>
        <v>50937.5</v>
      </c>
      <c r="U5" s="48">
        <f t="shared" si="11"/>
        <v>50937.5</v>
      </c>
      <c r="V5" s="48">
        <f t="shared" si="12"/>
        <v>0</v>
      </c>
      <c r="W5" s="48">
        <v>1761</v>
      </c>
      <c r="X5" s="49">
        <v>12346</v>
      </c>
      <c r="Y5" s="44"/>
    </row>
    <row r="6" spans="1:25" x14ac:dyDescent="0.3">
      <c r="A6" s="47">
        <v>45874</v>
      </c>
      <c r="B6" s="48">
        <f>37050+5950</f>
        <v>43000</v>
      </c>
      <c r="C6" s="48">
        <f t="shared" si="1"/>
        <v>39090.909090909088</v>
      </c>
      <c r="D6" s="48">
        <f t="shared" si="2"/>
        <v>3909.090909090909</v>
      </c>
      <c r="E6" s="48">
        <f>11130+1690+4300</f>
        <v>17120</v>
      </c>
      <c r="F6" s="48">
        <f t="shared" si="3"/>
        <v>14266.666666666668</v>
      </c>
      <c r="G6" s="48">
        <f t="shared" si="4"/>
        <v>2853.3333333333339</v>
      </c>
      <c r="H6" s="48">
        <f>610+575+560</f>
        <v>1745</v>
      </c>
      <c r="I6" s="48">
        <f t="shared" si="5"/>
        <v>1586.3636363636363</v>
      </c>
      <c r="J6" s="48">
        <f t="shared" si="6"/>
        <v>158.63636363636363</v>
      </c>
      <c r="K6" s="48">
        <f>5300+2700+800</f>
        <v>8800</v>
      </c>
      <c r="L6" s="48">
        <f t="shared" si="7"/>
        <v>7333.3333333333339</v>
      </c>
      <c r="M6" s="48">
        <f t="shared" si="8"/>
        <v>1466.666666666667</v>
      </c>
      <c r="N6" s="48">
        <f>4929+757.5+820</f>
        <v>6506.5</v>
      </c>
      <c r="O6" s="48">
        <f t="shared" si="9"/>
        <v>5422.0833333333339</v>
      </c>
      <c r="P6" s="48">
        <f t="shared" si="10"/>
        <v>1084.4166666666667</v>
      </c>
      <c r="Q6" s="48">
        <f>0</f>
        <v>0</v>
      </c>
      <c r="R6" s="48">
        <f>9820+8332.5+59019</f>
        <v>77171.5</v>
      </c>
      <c r="S6" s="48">
        <v>0</v>
      </c>
      <c r="T6" s="48">
        <f t="shared" ref="T6:T29" si="13">SUM(Q6:S6)</f>
        <v>77171.5</v>
      </c>
      <c r="U6" s="48">
        <f t="shared" si="11"/>
        <v>77171.5</v>
      </c>
      <c r="V6" s="48">
        <f t="shared" si="12"/>
        <v>0</v>
      </c>
      <c r="W6" s="48">
        <v>0</v>
      </c>
      <c r="X6" s="49">
        <f>11392.5</f>
        <v>11392.5</v>
      </c>
      <c r="Y6" s="44"/>
    </row>
    <row r="7" spans="1:25" x14ac:dyDescent="0.3">
      <c r="A7" s="47">
        <v>45875</v>
      </c>
      <c r="B7" s="48">
        <f>53425</f>
        <v>53425</v>
      </c>
      <c r="C7" s="48">
        <f t="shared" si="1"/>
        <v>48568.181818181816</v>
      </c>
      <c r="D7" s="48">
        <f t="shared" si="2"/>
        <v>4856.818181818182</v>
      </c>
      <c r="E7" s="48">
        <f>1400+13255</f>
        <v>14655</v>
      </c>
      <c r="F7" s="48">
        <f t="shared" si="3"/>
        <v>12212.5</v>
      </c>
      <c r="G7" s="48">
        <f t="shared" si="4"/>
        <v>2442.5</v>
      </c>
      <c r="H7" s="48">
        <f>2585</f>
        <v>2585</v>
      </c>
      <c r="I7" s="48">
        <f t="shared" si="5"/>
        <v>2350</v>
      </c>
      <c r="J7" s="48">
        <f t="shared" si="6"/>
        <v>235</v>
      </c>
      <c r="K7" s="48">
        <f>400+5800</f>
        <v>6200</v>
      </c>
      <c r="L7" s="48">
        <f t="shared" si="7"/>
        <v>5166.666666666667</v>
      </c>
      <c r="M7" s="48">
        <f t="shared" si="8"/>
        <v>1033.3333333333335</v>
      </c>
      <c r="N7" s="48">
        <f>180+6257.5</f>
        <v>6437.5</v>
      </c>
      <c r="O7" s="48">
        <f t="shared" si="9"/>
        <v>5364.5833333333339</v>
      </c>
      <c r="P7" s="48">
        <f t="shared" si="10"/>
        <v>1072.9166666666667</v>
      </c>
      <c r="Q7" s="48">
        <f>9539.5</f>
        <v>9539.5</v>
      </c>
      <c r="R7" s="48">
        <f>1980+71783-4536</f>
        <v>69227</v>
      </c>
      <c r="S7" s="48">
        <v>4536</v>
      </c>
      <c r="T7" s="48">
        <f t="shared" si="13"/>
        <v>83302.5</v>
      </c>
      <c r="U7" s="48">
        <f t="shared" si="11"/>
        <v>83302.5</v>
      </c>
      <c r="V7" s="48">
        <f t="shared" si="12"/>
        <v>0</v>
      </c>
      <c r="W7" s="48">
        <v>0</v>
      </c>
      <c r="X7" s="49">
        <v>21579.5</v>
      </c>
      <c r="Y7" s="44"/>
    </row>
    <row r="8" spans="1:25" x14ac:dyDescent="0.3">
      <c r="A8" s="47">
        <v>45876</v>
      </c>
      <c r="B8" s="48">
        <f>34945+5275</f>
        <v>40220</v>
      </c>
      <c r="C8" s="48">
        <f t="shared" si="1"/>
        <v>36563.63636363636</v>
      </c>
      <c r="D8" s="48">
        <f t="shared" si="2"/>
        <v>3656.363636363636</v>
      </c>
      <c r="E8" s="48">
        <f>2625+5915</f>
        <v>8540</v>
      </c>
      <c r="F8" s="48">
        <f t="shared" si="3"/>
        <v>7116.666666666667</v>
      </c>
      <c r="G8" s="48">
        <f t="shared" si="4"/>
        <v>1423.3333333333335</v>
      </c>
      <c r="H8" s="48">
        <f>3380+190</f>
        <v>3570</v>
      </c>
      <c r="I8" s="48">
        <f t="shared" si="5"/>
        <v>3245.454545454545</v>
      </c>
      <c r="J8" s="48">
        <f t="shared" si="6"/>
        <v>324.5454545454545</v>
      </c>
      <c r="K8" s="48">
        <f>3900+800</f>
        <v>4700</v>
      </c>
      <c r="L8" s="48">
        <f t="shared" si="7"/>
        <v>3916.666666666667</v>
      </c>
      <c r="M8" s="48">
        <f t="shared" si="8"/>
        <v>783.33333333333348</v>
      </c>
      <c r="N8" s="48">
        <f>4145+843</f>
        <v>4988</v>
      </c>
      <c r="O8" s="48">
        <f t="shared" si="9"/>
        <v>4156.666666666667</v>
      </c>
      <c r="P8" s="48">
        <f t="shared" si="10"/>
        <v>831.33333333333348</v>
      </c>
      <c r="Q8" s="48">
        <f>8635.5</f>
        <v>8635.5</v>
      </c>
      <c r="R8" s="48">
        <f>40359.5+13023-3350</f>
        <v>50032.5</v>
      </c>
      <c r="S8" s="48">
        <v>3350</v>
      </c>
      <c r="T8" s="48">
        <f t="shared" si="13"/>
        <v>62018</v>
      </c>
      <c r="U8" s="48">
        <f t="shared" si="11"/>
        <v>62018</v>
      </c>
      <c r="V8" s="48">
        <f t="shared" si="12"/>
        <v>0</v>
      </c>
      <c r="W8" s="48">
        <v>0</v>
      </c>
      <c r="X8" s="49">
        <f>4.5+45000+11326+14944.5</f>
        <v>71275</v>
      </c>
      <c r="Y8" s="44"/>
    </row>
    <row r="9" spans="1:25" x14ac:dyDescent="0.3">
      <c r="A9" s="47">
        <v>45877</v>
      </c>
      <c r="B9" s="48">
        <f>8925+250+38900+10350</f>
        <v>58425</v>
      </c>
      <c r="C9" s="48">
        <f t="shared" si="1"/>
        <v>53113.63636363636</v>
      </c>
      <c r="D9" s="48">
        <f t="shared" si="2"/>
        <v>5311.363636363636</v>
      </c>
      <c r="E9" s="48">
        <f>5925+12475+10725+29095</f>
        <v>58220</v>
      </c>
      <c r="F9" s="48">
        <f t="shared" si="3"/>
        <v>48516.666666666672</v>
      </c>
      <c r="G9" s="48">
        <f t="shared" si="4"/>
        <v>9703.3333333333339</v>
      </c>
      <c r="H9" s="48">
        <f>675+1200+490+1950</f>
        <v>4315</v>
      </c>
      <c r="I9" s="48">
        <f t="shared" si="5"/>
        <v>3922.7272727272725</v>
      </c>
      <c r="J9" s="48">
        <f t="shared" si="6"/>
        <v>392.27272727272725</v>
      </c>
      <c r="K9" s="48">
        <f>5200+3000+4600+5050</f>
        <v>17850</v>
      </c>
      <c r="L9" s="48">
        <f t="shared" si="7"/>
        <v>14875</v>
      </c>
      <c r="M9" s="48">
        <f t="shared" si="8"/>
        <v>2975</v>
      </c>
      <c r="N9" s="48">
        <f>1922.5+1635+4474+4467</f>
        <v>12498.5</v>
      </c>
      <c r="O9" s="48">
        <f t="shared" si="9"/>
        <v>10415.416666666668</v>
      </c>
      <c r="P9" s="48">
        <f t="shared" si="10"/>
        <v>2083.0833333333335</v>
      </c>
      <c r="Q9" s="48">
        <f>1000+7929</f>
        <v>8929</v>
      </c>
      <c r="R9" s="48">
        <f>22647.5+17560+59189-6996.5+42983</f>
        <v>135383</v>
      </c>
      <c r="S9" s="48">
        <v>6996.5</v>
      </c>
      <c r="T9" s="48">
        <f t="shared" si="13"/>
        <v>151308.5</v>
      </c>
      <c r="U9" s="48">
        <f t="shared" si="11"/>
        <v>151308.5</v>
      </c>
      <c r="V9" s="48">
        <f t="shared" si="12"/>
        <v>0</v>
      </c>
      <c r="W9" s="48">
        <v>0</v>
      </c>
      <c r="X9" s="49">
        <f>9981.5+37621.5</f>
        <v>47603</v>
      </c>
      <c r="Y9" s="44"/>
    </row>
    <row r="10" spans="1:25" x14ac:dyDescent="0.3">
      <c r="A10" s="47">
        <v>45878</v>
      </c>
      <c r="B10" s="48">
        <f>5820+50050</f>
        <v>55870</v>
      </c>
      <c r="C10" s="48">
        <f t="shared" si="1"/>
        <v>50790.909090909088</v>
      </c>
      <c r="D10" s="48">
        <f t="shared" si="2"/>
        <v>5079.090909090909</v>
      </c>
      <c r="E10" s="48">
        <f>19790+8100+12560</f>
        <v>40450</v>
      </c>
      <c r="F10" s="48">
        <f t="shared" si="3"/>
        <v>33708.333333333336</v>
      </c>
      <c r="G10" s="48">
        <f t="shared" si="4"/>
        <v>6741.6666666666679</v>
      </c>
      <c r="H10" s="48">
        <f>575+3935</f>
        <v>4510</v>
      </c>
      <c r="I10" s="48">
        <f t="shared" si="5"/>
        <v>4100</v>
      </c>
      <c r="J10" s="48">
        <f t="shared" si="6"/>
        <v>410</v>
      </c>
      <c r="K10" s="48">
        <f>2800+400+7000</f>
        <v>10200</v>
      </c>
      <c r="L10" s="48">
        <f t="shared" si="7"/>
        <v>8500</v>
      </c>
      <c r="M10" s="48">
        <f t="shared" si="8"/>
        <v>1700</v>
      </c>
      <c r="N10" s="48">
        <f>2838.5+250+6754.5</f>
        <v>9843</v>
      </c>
      <c r="O10" s="48">
        <f t="shared" si="9"/>
        <v>8202.5</v>
      </c>
      <c r="P10" s="48">
        <f t="shared" si="10"/>
        <v>1640.5</v>
      </c>
      <c r="Q10" s="48">
        <f>4470+4150</f>
        <v>8620</v>
      </c>
      <c r="R10" s="48">
        <f>27353.5+4600+80299.5</f>
        <v>112253</v>
      </c>
      <c r="S10" s="48">
        <v>0</v>
      </c>
      <c r="T10" s="48">
        <f t="shared" si="13"/>
        <v>120873</v>
      </c>
      <c r="U10" s="48">
        <f t="shared" si="11"/>
        <v>120873</v>
      </c>
      <c r="V10" s="48">
        <f t="shared" si="12"/>
        <v>0</v>
      </c>
      <c r="W10" s="48">
        <v>0</v>
      </c>
      <c r="X10" s="49">
        <f>30312.5+22375+14411.5+800+600+7075</f>
        <v>75574</v>
      </c>
      <c r="Y10" s="44"/>
    </row>
    <row r="11" spans="1:25" s="35" customFormat="1" x14ac:dyDescent="0.3">
      <c r="A11" s="58">
        <v>45879</v>
      </c>
      <c r="B11" s="37">
        <f>4775+78100</f>
        <v>82875</v>
      </c>
      <c r="C11" s="37">
        <f t="shared" si="1"/>
        <v>75340.909090909088</v>
      </c>
      <c r="D11" s="37">
        <f t="shared" si="2"/>
        <v>7534.090909090909</v>
      </c>
      <c r="E11" s="37">
        <f>3215+10915</f>
        <v>14130</v>
      </c>
      <c r="F11" s="37">
        <f t="shared" si="3"/>
        <v>11775</v>
      </c>
      <c r="G11" s="37">
        <f t="shared" si="4"/>
        <v>2355</v>
      </c>
      <c r="H11" s="37">
        <f>800+700+2865</f>
        <v>4365</v>
      </c>
      <c r="I11" s="37">
        <f t="shared" si="5"/>
        <v>3968.181818181818</v>
      </c>
      <c r="J11" s="37">
        <f t="shared" si="6"/>
        <v>396.81818181818181</v>
      </c>
      <c r="K11" s="37">
        <f>1000+9700</f>
        <v>10700</v>
      </c>
      <c r="L11" s="37">
        <f t="shared" si="7"/>
        <v>8916.6666666666679</v>
      </c>
      <c r="M11" s="37">
        <f t="shared" si="8"/>
        <v>1783.3333333333337</v>
      </c>
      <c r="N11" s="37">
        <f>80+869+8338</f>
        <v>9287</v>
      </c>
      <c r="O11" s="37">
        <f t="shared" si="9"/>
        <v>7739.166666666667</v>
      </c>
      <c r="P11" s="37">
        <f t="shared" si="10"/>
        <v>1547.8333333333335</v>
      </c>
      <c r="Q11" s="37">
        <f>880</f>
        <v>880</v>
      </c>
      <c r="R11" s="37">
        <f>880+9679+109918</f>
        <v>120477</v>
      </c>
      <c r="S11" s="37">
        <v>0</v>
      </c>
      <c r="T11" s="37">
        <f t="shared" si="13"/>
        <v>121357</v>
      </c>
      <c r="U11" s="37">
        <f t="shared" si="11"/>
        <v>121357</v>
      </c>
      <c r="V11" s="37">
        <f t="shared" si="12"/>
        <v>0</v>
      </c>
      <c r="W11" s="37">
        <v>6000</v>
      </c>
      <c r="X11" s="36">
        <f>5527+19879.5</f>
        <v>25406.5</v>
      </c>
      <c r="Y11" s="59"/>
    </row>
    <row r="12" spans="1:25" x14ac:dyDescent="0.3">
      <c r="A12" s="47">
        <v>45881</v>
      </c>
      <c r="B12" s="48">
        <f>1750+50495</f>
        <v>52245</v>
      </c>
      <c r="C12" s="48">
        <f t="shared" si="1"/>
        <v>47495.454545454544</v>
      </c>
      <c r="D12" s="48">
        <f t="shared" si="2"/>
        <v>4749.545454545455</v>
      </c>
      <c r="E12" s="48">
        <f>4065+18875+22540</f>
        <v>45480</v>
      </c>
      <c r="F12" s="48">
        <f t="shared" si="3"/>
        <v>37900</v>
      </c>
      <c r="G12" s="48">
        <f t="shared" si="4"/>
        <v>7580</v>
      </c>
      <c r="H12" s="48">
        <f>200+1725+1310</f>
        <v>3235</v>
      </c>
      <c r="I12" s="48">
        <f t="shared" si="5"/>
        <v>2940.9090909090905</v>
      </c>
      <c r="J12" s="48">
        <f t="shared" si="6"/>
        <v>294.09090909090907</v>
      </c>
      <c r="K12" s="48">
        <f>600+4800+4800</f>
        <v>10200</v>
      </c>
      <c r="L12" s="48">
        <f t="shared" si="7"/>
        <v>8500</v>
      </c>
      <c r="M12" s="48">
        <f t="shared" si="8"/>
        <v>1700</v>
      </c>
      <c r="N12" s="48">
        <f>601.5+2540+7434.5</f>
        <v>10576</v>
      </c>
      <c r="O12" s="48">
        <f t="shared" si="9"/>
        <v>8813.3333333333339</v>
      </c>
      <c r="P12" s="48">
        <f t="shared" si="10"/>
        <v>1762.666666666667</v>
      </c>
      <c r="Q12" s="48">
        <f>0</f>
        <v>0</v>
      </c>
      <c r="R12" s="48">
        <f>7216.5+26235+77297-3260</f>
        <v>107488.5</v>
      </c>
      <c r="S12" s="48">
        <f>12542.5+1705</f>
        <v>14247.5</v>
      </c>
      <c r="T12" s="48">
        <f t="shared" si="13"/>
        <v>121736</v>
      </c>
      <c r="U12" s="48">
        <f t="shared" si="11"/>
        <v>121736</v>
      </c>
      <c r="V12" s="48">
        <f t="shared" si="12"/>
        <v>0</v>
      </c>
      <c r="W12" s="48">
        <v>0</v>
      </c>
      <c r="X12" s="49">
        <f>26322+3260</f>
        <v>29582</v>
      </c>
      <c r="Y12" s="44"/>
    </row>
    <row r="13" spans="1:25" x14ac:dyDescent="0.3">
      <c r="A13" s="47">
        <v>45882</v>
      </c>
      <c r="B13" s="48">
        <f>550+24575+4125</f>
        <v>29250</v>
      </c>
      <c r="C13" s="48">
        <f t="shared" si="1"/>
        <v>26590.909090909088</v>
      </c>
      <c r="D13" s="48">
        <f t="shared" si="2"/>
        <v>2659.090909090909</v>
      </c>
      <c r="E13" s="48">
        <f>18950+12725</f>
        <v>31675</v>
      </c>
      <c r="F13" s="48">
        <f t="shared" si="3"/>
        <v>26395.833333333336</v>
      </c>
      <c r="G13" s="48">
        <f t="shared" si="4"/>
        <v>5279.1666666666679</v>
      </c>
      <c r="H13" s="48">
        <f>455+1725</f>
        <v>2180</v>
      </c>
      <c r="I13" s="48">
        <f t="shared" si="5"/>
        <v>1981.8181818181818</v>
      </c>
      <c r="J13" s="48">
        <f t="shared" si="6"/>
        <v>198.18181818181819</v>
      </c>
      <c r="K13" s="48">
        <f>2600+3400+400</f>
        <v>6400</v>
      </c>
      <c r="L13" s="48">
        <f t="shared" si="7"/>
        <v>5333.3333333333339</v>
      </c>
      <c r="M13" s="48">
        <f t="shared" si="8"/>
        <v>1066.6666666666667</v>
      </c>
      <c r="N13" s="48">
        <f>2210+3775.5+585</f>
        <v>6570.5</v>
      </c>
      <c r="O13" s="48">
        <f t="shared" si="9"/>
        <v>5475.416666666667</v>
      </c>
      <c r="P13" s="48">
        <f t="shared" si="10"/>
        <v>1095.0833333333335</v>
      </c>
      <c r="Q13" s="48">
        <f>1300+1465</f>
        <v>2765</v>
      </c>
      <c r="R13" s="48">
        <f>23010+43465.5+6835</f>
        <v>73310.5</v>
      </c>
      <c r="S13" s="48">
        <v>0</v>
      </c>
      <c r="T13" s="48">
        <f t="shared" si="13"/>
        <v>76075.5</v>
      </c>
      <c r="U13" s="48">
        <f t="shared" si="11"/>
        <v>76075.5</v>
      </c>
      <c r="V13" s="48">
        <f t="shared" si="12"/>
        <v>0</v>
      </c>
      <c r="W13" s="48">
        <v>0</v>
      </c>
      <c r="X13" s="49">
        <v>42756.5</v>
      </c>
      <c r="Y13" s="44"/>
    </row>
    <row r="14" spans="1:25" x14ac:dyDescent="0.3">
      <c r="A14" s="47">
        <v>45883</v>
      </c>
      <c r="B14" s="48">
        <f>7500+45445</f>
        <v>52945</v>
      </c>
      <c r="C14" s="48">
        <f t="shared" si="1"/>
        <v>48131.818181818177</v>
      </c>
      <c r="D14" s="48">
        <f t="shared" si="2"/>
        <v>4813.181818181818</v>
      </c>
      <c r="E14" s="48">
        <f>7100+1225+11825</f>
        <v>20150</v>
      </c>
      <c r="F14" s="48">
        <f t="shared" si="3"/>
        <v>16791.666666666668</v>
      </c>
      <c r="G14" s="48">
        <f t="shared" si="4"/>
        <v>3358.3333333333339</v>
      </c>
      <c r="H14" s="48">
        <f>585+95+2760</f>
        <v>3440</v>
      </c>
      <c r="I14" s="48">
        <f t="shared" si="5"/>
        <v>3127.272727272727</v>
      </c>
      <c r="J14" s="48">
        <f t="shared" si="6"/>
        <v>312.72727272727275</v>
      </c>
      <c r="K14" s="48">
        <f>1600+400+5400</f>
        <v>7400</v>
      </c>
      <c r="L14" s="48">
        <f t="shared" si="7"/>
        <v>6166.666666666667</v>
      </c>
      <c r="M14" s="48">
        <f t="shared" si="8"/>
        <v>1233.3333333333335</v>
      </c>
      <c r="N14" s="48">
        <f>790+172+6003</f>
        <v>6965</v>
      </c>
      <c r="O14" s="48">
        <f t="shared" si="9"/>
        <v>5804.166666666667</v>
      </c>
      <c r="P14" s="48">
        <f t="shared" si="10"/>
        <v>1160.8333333333335</v>
      </c>
      <c r="Q14" s="48">
        <f>8885</f>
        <v>8885</v>
      </c>
      <c r="R14" s="48">
        <f>8690+1892+71433</f>
        <v>82015</v>
      </c>
      <c r="S14" s="48">
        <v>0</v>
      </c>
      <c r="T14" s="48">
        <f t="shared" si="13"/>
        <v>90900</v>
      </c>
      <c r="U14" s="48">
        <f t="shared" si="11"/>
        <v>90900</v>
      </c>
      <c r="V14" s="48">
        <f t="shared" si="12"/>
        <v>0</v>
      </c>
      <c r="W14" s="48">
        <v>0</v>
      </c>
      <c r="X14" s="49">
        <v>12000</v>
      </c>
      <c r="Y14" s="44"/>
    </row>
    <row r="15" spans="1:25" x14ac:dyDescent="0.3">
      <c r="A15" s="47">
        <v>45884</v>
      </c>
      <c r="B15" s="48">
        <f>500+40800</f>
        <v>41300</v>
      </c>
      <c r="C15" s="48">
        <f t="shared" si="1"/>
        <v>37545.454545454544</v>
      </c>
      <c r="D15" s="48">
        <f t="shared" si="2"/>
        <v>3754.5454545454545</v>
      </c>
      <c r="E15" s="48">
        <f>9200+2850+5515</f>
        <v>17565</v>
      </c>
      <c r="F15" s="48">
        <f t="shared" si="3"/>
        <v>14637.5</v>
      </c>
      <c r="G15" s="48">
        <f t="shared" si="4"/>
        <v>2927.5</v>
      </c>
      <c r="H15" s="48">
        <f>575+900</f>
        <v>1475</v>
      </c>
      <c r="I15" s="48">
        <f t="shared" si="5"/>
        <v>1340.9090909090908</v>
      </c>
      <c r="J15" s="48">
        <f t="shared" si="6"/>
        <v>134.09090909090909</v>
      </c>
      <c r="K15" s="48">
        <f>3800+400+3600</f>
        <v>7800</v>
      </c>
      <c r="L15" s="48">
        <f t="shared" si="7"/>
        <v>6500</v>
      </c>
      <c r="M15" s="48">
        <f t="shared" si="8"/>
        <v>1300</v>
      </c>
      <c r="N15" s="48">
        <f>1407.5+325+4267</f>
        <v>5999.5</v>
      </c>
      <c r="O15" s="48">
        <f t="shared" si="9"/>
        <v>4999.5833333333339</v>
      </c>
      <c r="P15" s="48">
        <f t="shared" si="10"/>
        <v>999.91666666666686</v>
      </c>
      <c r="Q15" s="48">
        <f>4654+4945</f>
        <v>9599</v>
      </c>
      <c r="R15" s="48">
        <f>10828.5+3575+50137-5680</f>
        <v>58860.5</v>
      </c>
      <c r="S15" s="48">
        <v>5680</v>
      </c>
      <c r="T15" s="48">
        <f t="shared" si="13"/>
        <v>74139.5</v>
      </c>
      <c r="U15" s="48">
        <f t="shared" si="11"/>
        <v>74139.5</v>
      </c>
      <c r="V15" s="48">
        <f t="shared" si="12"/>
        <v>0</v>
      </c>
      <c r="W15" s="48">
        <v>0</v>
      </c>
      <c r="X15" s="49">
        <f>29474+45468.5+49276+2035</f>
        <v>126253.5</v>
      </c>
      <c r="Y15" s="44"/>
    </row>
    <row r="16" spans="1:25" x14ac:dyDescent="0.3">
      <c r="A16" s="47">
        <v>45885</v>
      </c>
      <c r="B16" s="48">
        <f>12550+39122.5</f>
        <v>51672.5</v>
      </c>
      <c r="C16" s="48">
        <f t="shared" si="1"/>
        <v>46974.999999999993</v>
      </c>
      <c r="D16" s="48">
        <f t="shared" si="2"/>
        <v>4697.4999999999991</v>
      </c>
      <c r="E16" s="48">
        <f>23025+19665</f>
        <v>42690</v>
      </c>
      <c r="F16" s="48">
        <f t="shared" si="3"/>
        <v>35575</v>
      </c>
      <c r="G16" s="48">
        <f t="shared" si="4"/>
        <v>7115</v>
      </c>
      <c r="H16" s="48">
        <f>2360+816.5</f>
        <v>3176.5</v>
      </c>
      <c r="I16" s="48">
        <f t="shared" si="5"/>
        <v>2887.7272727272725</v>
      </c>
      <c r="J16" s="48">
        <f t="shared" si="6"/>
        <v>288.77272727272725</v>
      </c>
      <c r="K16" s="48">
        <f>6600+4600</f>
        <v>11200</v>
      </c>
      <c r="L16" s="48">
        <f t="shared" si="7"/>
        <v>9333.3333333333339</v>
      </c>
      <c r="M16" s="48">
        <f t="shared" si="8"/>
        <v>1866.666666666667</v>
      </c>
      <c r="N16" s="48">
        <f>4253.5+6018.5</f>
        <v>10272</v>
      </c>
      <c r="O16" s="48">
        <f t="shared" si="9"/>
        <v>8560</v>
      </c>
      <c r="P16" s="48">
        <f t="shared" si="10"/>
        <v>1712</v>
      </c>
      <c r="Q16" s="48">
        <f>7546</f>
        <v>7546</v>
      </c>
      <c r="R16" s="48">
        <f>41242.5-2774.7+70222.5-3914</f>
        <v>104776.3</v>
      </c>
      <c r="S16" s="48">
        <f>2774.7+3914</f>
        <v>6688.7</v>
      </c>
      <c r="T16" s="48">
        <f t="shared" si="13"/>
        <v>119011</v>
      </c>
      <c r="U16" s="48">
        <f t="shared" si="11"/>
        <v>119011</v>
      </c>
      <c r="V16" s="48">
        <f t="shared" si="12"/>
        <v>0</v>
      </c>
      <c r="W16" s="48">
        <f>3400+1200+1100</f>
        <v>5700</v>
      </c>
      <c r="X16" s="49">
        <f>52953.5+54391+1900</f>
        <v>109244.5</v>
      </c>
      <c r="Y16" s="44"/>
    </row>
    <row r="17" spans="1:25" ht="13.95" customHeight="1" x14ac:dyDescent="0.3">
      <c r="A17" s="47">
        <v>45886</v>
      </c>
      <c r="B17" s="48">
        <f>8630+4625+45600</f>
        <v>58855</v>
      </c>
      <c r="C17" s="48">
        <f t="shared" si="1"/>
        <v>53504.545454545449</v>
      </c>
      <c r="D17" s="48">
        <f t="shared" si="2"/>
        <v>5350.454545454545</v>
      </c>
      <c r="E17" s="48">
        <f>9300+11200</f>
        <v>20500</v>
      </c>
      <c r="F17" s="48">
        <f t="shared" si="3"/>
        <v>17083.333333333336</v>
      </c>
      <c r="G17" s="48">
        <f t="shared" si="4"/>
        <v>3416.6666666666674</v>
      </c>
      <c r="H17" s="48">
        <f>1180+1965</f>
        <v>3145</v>
      </c>
      <c r="I17" s="48">
        <f t="shared" si="5"/>
        <v>2859.090909090909</v>
      </c>
      <c r="J17" s="48">
        <f t="shared" si="6"/>
        <v>285.90909090909093</v>
      </c>
      <c r="K17" s="48">
        <f>1300+900+6100</f>
        <v>8300</v>
      </c>
      <c r="L17" s="48">
        <f t="shared" si="7"/>
        <v>6916.666666666667</v>
      </c>
      <c r="M17" s="48">
        <f t="shared" si="8"/>
        <v>1383.3333333333335</v>
      </c>
      <c r="N17" s="48">
        <f>617+752.5+5091.5</f>
        <v>6461</v>
      </c>
      <c r="O17" s="48">
        <f t="shared" si="9"/>
        <v>5384.166666666667</v>
      </c>
      <c r="P17" s="48">
        <f t="shared" si="10"/>
        <v>1076.8333333333335</v>
      </c>
      <c r="Q17" s="48">
        <f>5110</f>
        <v>5110</v>
      </c>
      <c r="R17" s="48">
        <f>6617+15577.5+69956.5</f>
        <v>92151</v>
      </c>
      <c r="S17" s="48">
        <v>0</v>
      </c>
      <c r="T17" s="48">
        <f t="shared" si="13"/>
        <v>97261</v>
      </c>
      <c r="U17" s="48">
        <f t="shared" si="11"/>
        <v>97261</v>
      </c>
      <c r="V17" s="48">
        <f t="shared" si="12"/>
        <v>0</v>
      </c>
      <c r="W17" s="48">
        <v>10000</v>
      </c>
      <c r="X17" s="49">
        <f>90000+11262.5</f>
        <v>101262.5</v>
      </c>
      <c r="Y17" s="44"/>
    </row>
    <row r="18" spans="1:25" x14ac:dyDescent="0.3">
      <c r="A18" s="47">
        <v>45888</v>
      </c>
      <c r="B18" s="48">
        <f>3000+10325+45425</f>
        <v>58750</v>
      </c>
      <c r="C18" s="48">
        <f t="shared" si="1"/>
        <v>53409.090909090904</v>
      </c>
      <c r="D18" s="48">
        <f t="shared" si="2"/>
        <v>5340.909090909091</v>
      </c>
      <c r="E18" s="48">
        <f>4225+1190+10300</f>
        <v>15715</v>
      </c>
      <c r="F18" s="48">
        <f t="shared" si="3"/>
        <v>13095.833333333334</v>
      </c>
      <c r="G18" s="48">
        <f t="shared" si="4"/>
        <v>2619.166666666667</v>
      </c>
      <c r="H18" s="48">
        <f>1540+135</f>
        <v>1675</v>
      </c>
      <c r="I18" s="48">
        <f t="shared" si="5"/>
        <v>1522.7272727272725</v>
      </c>
      <c r="J18" s="48">
        <f t="shared" si="6"/>
        <v>152.27272727272725</v>
      </c>
      <c r="K18" s="48">
        <f>1400+800+4600</f>
        <v>6800</v>
      </c>
      <c r="L18" s="48">
        <f t="shared" si="7"/>
        <v>5666.666666666667</v>
      </c>
      <c r="M18" s="48">
        <f t="shared" si="8"/>
        <v>1133.3333333333335</v>
      </c>
      <c r="N18" s="48">
        <f>836+1151.5+5231.5</f>
        <v>7219</v>
      </c>
      <c r="O18" s="48">
        <f t="shared" si="9"/>
        <v>6015.8333333333339</v>
      </c>
      <c r="P18" s="48">
        <f t="shared" si="10"/>
        <v>1203.1666666666667</v>
      </c>
      <c r="Q18" s="48">
        <f>0</f>
        <v>0</v>
      </c>
      <c r="R18" s="48">
        <f>9596+7165+67096.5-5350</f>
        <v>78507.5</v>
      </c>
      <c r="S18" s="48">
        <f>5350+6301.5</f>
        <v>11651.5</v>
      </c>
      <c r="T18" s="48">
        <f t="shared" si="13"/>
        <v>90159</v>
      </c>
      <c r="U18" s="48">
        <f t="shared" si="11"/>
        <v>90159</v>
      </c>
      <c r="V18" s="48">
        <f t="shared" si="12"/>
        <v>0</v>
      </c>
      <c r="W18" s="48">
        <v>0</v>
      </c>
      <c r="X18" s="49">
        <v>10536.5</v>
      </c>
      <c r="Y18" s="44"/>
    </row>
    <row r="19" spans="1:25" x14ac:dyDescent="0.3">
      <c r="A19" s="47">
        <v>45889</v>
      </c>
      <c r="B19" s="48">
        <f>33625+3950</f>
        <v>37575</v>
      </c>
      <c r="C19" s="48">
        <f t="shared" si="1"/>
        <v>34159.090909090904</v>
      </c>
      <c r="D19" s="48">
        <f t="shared" si="2"/>
        <v>3415.9090909090905</v>
      </c>
      <c r="E19" s="48">
        <f>16035+3830</f>
        <v>19865</v>
      </c>
      <c r="F19" s="48">
        <f t="shared" si="3"/>
        <v>16554.166666666668</v>
      </c>
      <c r="G19" s="48">
        <f t="shared" si="4"/>
        <v>3310.8333333333339</v>
      </c>
      <c r="H19" s="48">
        <f>1285</f>
        <v>1285</v>
      </c>
      <c r="I19" s="48">
        <f t="shared" si="5"/>
        <v>1168.181818181818</v>
      </c>
      <c r="J19" s="48">
        <f t="shared" si="6"/>
        <v>116.81818181818181</v>
      </c>
      <c r="K19" s="48">
        <f>4900+800</f>
        <v>5700</v>
      </c>
      <c r="L19" s="48">
        <f t="shared" si="7"/>
        <v>4750</v>
      </c>
      <c r="M19" s="48">
        <f t="shared" si="8"/>
        <v>950</v>
      </c>
      <c r="N19" s="48">
        <f>4771+818</f>
        <v>5589</v>
      </c>
      <c r="O19" s="48">
        <f t="shared" si="9"/>
        <v>4657.5</v>
      </c>
      <c r="P19" s="48">
        <f t="shared" si="10"/>
        <v>931.5</v>
      </c>
      <c r="Q19" s="48">
        <f>4135+150</f>
        <v>4285</v>
      </c>
      <c r="R19" s="48">
        <f>56481+9248</f>
        <v>65729</v>
      </c>
      <c r="S19" s="48">
        <v>0</v>
      </c>
      <c r="T19" s="48">
        <f t="shared" si="13"/>
        <v>70014</v>
      </c>
      <c r="U19" s="48">
        <f t="shared" si="11"/>
        <v>70014</v>
      </c>
      <c r="V19" s="48">
        <f t="shared" si="12"/>
        <v>0</v>
      </c>
      <c r="W19" s="48">
        <v>0</v>
      </c>
      <c r="X19" s="49">
        <v>27741</v>
      </c>
      <c r="Y19" s="44"/>
    </row>
    <row r="20" spans="1:25" x14ac:dyDescent="0.3">
      <c r="A20" s="47">
        <v>45890</v>
      </c>
      <c r="B20" s="48">
        <f>1650+24690</f>
        <v>26340</v>
      </c>
      <c r="C20" s="48">
        <f t="shared" si="1"/>
        <v>23945.454545454544</v>
      </c>
      <c r="D20" s="48">
        <f t="shared" si="2"/>
        <v>2394.5454545454545</v>
      </c>
      <c r="E20" s="48">
        <f>19500+2230+3975+4145</f>
        <v>29850</v>
      </c>
      <c r="F20" s="48">
        <f t="shared" si="3"/>
        <v>24875</v>
      </c>
      <c r="G20" s="48">
        <f t="shared" si="4"/>
        <v>4975</v>
      </c>
      <c r="H20" s="48">
        <f>225+405</f>
        <v>630</v>
      </c>
      <c r="I20" s="48">
        <f t="shared" si="5"/>
        <v>572.72727272727263</v>
      </c>
      <c r="J20" s="48">
        <f t="shared" si="6"/>
        <v>57.272727272727266</v>
      </c>
      <c r="K20" s="48">
        <f>1800+400+800+2000</f>
        <v>5000</v>
      </c>
      <c r="L20" s="48">
        <f t="shared" si="7"/>
        <v>4166.666666666667</v>
      </c>
      <c r="M20" s="48">
        <f t="shared" si="8"/>
        <v>833.33333333333348</v>
      </c>
      <c r="N20" s="48">
        <f>2152.5+263+602.5+1997.5</f>
        <v>5015.5</v>
      </c>
      <c r="O20" s="48">
        <f t="shared" si="9"/>
        <v>4179.5833333333339</v>
      </c>
      <c r="P20" s="48">
        <f t="shared" si="10"/>
        <v>835.91666666666686</v>
      </c>
      <c r="Q20" s="48">
        <f>7027.5</f>
        <v>7027.5</v>
      </c>
      <c r="R20" s="48">
        <f>33237.5+2893+23677.5</f>
        <v>59808</v>
      </c>
      <c r="S20" s="48">
        <v>0</v>
      </c>
      <c r="T20" s="48">
        <f t="shared" si="13"/>
        <v>66835.5</v>
      </c>
      <c r="U20" s="48">
        <f t="shared" si="11"/>
        <v>66835.5</v>
      </c>
      <c r="V20" s="48">
        <f t="shared" si="12"/>
        <v>0</v>
      </c>
      <c r="W20" s="48">
        <v>0</v>
      </c>
      <c r="X20" s="49">
        <f>42753.5+21284+59325</f>
        <v>123362.5</v>
      </c>
      <c r="Y20" s="44"/>
    </row>
    <row r="21" spans="1:25" x14ac:dyDescent="0.3">
      <c r="A21" s="47">
        <v>45891</v>
      </c>
      <c r="B21" s="48">
        <f>52275</f>
        <v>52275</v>
      </c>
      <c r="C21" s="48">
        <f t="shared" si="1"/>
        <v>47522.727272727272</v>
      </c>
      <c r="D21" s="48">
        <f t="shared" si="2"/>
        <v>4752.272727272727</v>
      </c>
      <c r="E21" s="48">
        <f>5425+4945</f>
        <v>10370</v>
      </c>
      <c r="F21" s="48">
        <f t="shared" si="3"/>
        <v>8641.6666666666679</v>
      </c>
      <c r="G21" s="48">
        <f t="shared" si="4"/>
        <v>1728.3333333333337</v>
      </c>
      <c r="H21" s="48">
        <f>1010</f>
        <v>1010</v>
      </c>
      <c r="I21" s="48">
        <f t="shared" si="5"/>
        <v>918.18181818181813</v>
      </c>
      <c r="J21" s="48">
        <f t="shared" si="6"/>
        <v>91.818181818181813</v>
      </c>
      <c r="K21" s="48">
        <f>1200+5950</f>
        <v>7150</v>
      </c>
      <c r="L21" s="48">
        <f t="shared" si="7"/>
        <v>5958.3333333333339</v>
      </c>
      <c r="M21" s="48">
        <f t="shared" si="8"/>
        <v>1191.6666666666667</v>
      </c>
      <c r="N21" s="48">
        <f>662.5+5898</f>
        <v>6560.5</v>
      </c>
      <c r="O21" s="48">
        <f t="shared" si="9"/>
        <v>5467.0833333333339</v>
      </c>
      <c r="P21" s="48">
        <f t="shared" si="10"/>
        <v>1093.4166666666667</v>
      </c>
      <c r="Q21" s="48">
        <f>0</f>
        <v>0</v>
      </c>
      <c r="R21" s="48">
        <f>7287.5+70078</f>
        <v>77365.5</v>
      </c>
      <c r="S21" s="48">
        <v>0</v>
      </c>
      <c r="T21" s="48">
        <f t="shared" si="13"/>
        <v>77365.5</v>
      </c>
      <c r="U21" s="48">
        <f t="shared" si="11"/>
        <v>77365.5</v>
      </c>
      <c r="V21" s="48">
        <f t="shared" si="12"/>
        <v>0</v>
      </c>
      <c r="W21" s="48">
        <v>0</v>
      </c>
      <c r="X21" s="49">
        <v>16167.5</v>
      </c>
      <c r="Y21" s="44"/>
    </row>
    <row r="22" spans="1:25" x14ac:dyDescent="0.3">
      <c r="A22" s="47">
        <v>45892</v>
      </c>
      <c r="B22" s="48">
        <f>12625+56176.25</f>
        <v>68801.25</v>
      </c>
      <c r="C22" s="48">
        <f t="shared" si="1"/>
        <v>62546.590909090904</v>
      </c>
      <c r="D22" s="48">
        <f t="shared" si="2"/>
        <v>6254.659090909091</v>
      </c>
      <c r="E22" s="48">
        <f>12300+10740+16000.75</f>
        <v>39040.75</v>
      </c>
      <c r="F22" s="48">
        <f t="shared" si="3"/>
        <v>32533.958333333336</v>
      </c>
      <c r="G22" s="48">
        <f t="shared" si="4"/>
        <v>6506.7916666666679</v>
      </c>
      <c r="H22" s="48">
        <f>2300+4215</f>
        <v>6515</v>
      </c>
      <c r="I22" s="48">
        <f t="shared" si="5"/>
        <v>5922.7272727272721</v>
      </c>
      <c r="J22" s="48">
        <f t="shared" si="6"/>
        <v>592.27272727272725</v>
      </c>
      <c r="K22" s="48">
        <f>5300+2200+7400</f>
        <v>14900</v>
      </c>
      <c r="L22" s="48">
        <f t="shared" si="7"/>
        <v>12416.666666666668</v>
      </c>
      <c r="M22" s="48">
        <f t="shared" si="8"/>
        <v>2483.3333333333339</v>
      </c>
      <c r="N22" s="48">
        <f>1242.5+2436.5+7845</f>
        <v>11524</v>
      </c>
      <c r="O22" s="48">
        <f t="shared" si="9"/>
        <v>9603.3333333333339</v>
      </c>
      <c r="P22" s="48">
        <f t="shared" si="10"/>
        <v>1920.666666666667</v>
      </c>
      <c r="Q22" s="48">
        <f>0</f>
        <v>0</v>
      </c>
      <c r="R22" s="48">
        <f>21142.5+28001.5-3575+91637-5927.5</f>
        <v>131278.5</v>
      </c>
      <c r="S22" s="48">
        <f>5927.5+3575</f>
        <v>9502.5</v>
      </c>
      <c r="T22" s="48">
        <f t="shared" si="13"/>
        <v>140781</v>
      </c>
      <c r="U22" s="48">
        <f t="shared" si="11"/>
        <v>140781</v>
      </c>
      <c r="V22" s="48">
        <f t="shared" si="12"/>
        <v>0</v>
      </c>
      <c r="W22" s="48">
        <f>600</f>
        <v>600</v>
      </c>
      <c r="X22" s="49">
        <f>14900+36632+11060+16100</f>
        <v>78692</v>
      </c>
      <c r="Y22" s="44"/>
    </row>
    <row r="23" spans="1:25" x14ac:dyDescent="0.3">
      <c r="A23" s="47">
        <v>45893</v>
      </c>
      <c r="B23" s="48">
        <f>4170+76740</f>
        <v>80910</v>
      </c>
      <c r="C23" s="48">
        <f t="shared" si="1"/>
        <v>73554.545454545456</v>
      </c>
      <c r="D23" s="48">
        <f t="shared" si="2"/>
        <v>7355.454545454546</v>
      </c>
      <c r="E23" s="48">
        <f>15735+7150</f>
        <v>22885</v>
      </c>
      <c r="F23" s="48">
        <f t="shared" si="3"/>
        <v>19070.833333333336</v>
      </c>
      <c r="G23" s="48">
        <f t="shared" si="4"/>
        <v>3814.1666666666674</v>
      </c>
      <c r="H23" s="48">
        <f>1910+710</f>
        <v>2620</v>
      </c>
      <c r="I23" s="48">
        <f t="shared" si="5"/>
        <v>2381.8181818181815</v>
      </c>
      <c r="J23" s="48">
        <f t="shared" si="6"/>
        <v>238.18181818181816</v>
      </c>
      <c r="K23" s="48">
        <f>3050+7600</f>
        <v>10650</v>
      </c>
      <c r="L23" s="48">
        <f t="shared" si="7"/>
        <v>8875</v>
      </c>
      <c r="M23" s="48">
        <f t="shared" si="8"/>
        <v>1775</v>
      </c>
      <c r="N23" s="48">
        <f>1468+8811</f>
        <v>10279</v>
      </c>
      <c r="O23" s="48">
        <f t="shared" si="9"/>
        <v>8565.8333333333339</v>
      </c>
      <c r="P23" s="48">
        <f t="shared" si="10"/>
        <v>1713.166666666667</v>
      </c>
      <c r="Q23" s="48">
        <v>0</v>
      </c>
      <c r="R23" s="48">
        <f>16548+110796</f>
        <v>127344</v>
      </c>
      <c r="S23" s="48">
        <v>0</v>
      </c>
      <c r="T23" s="48">
        <f t="shared" si="13"/>
        <v>127344</v>
      </c>
      <c r="U23" s="48">
        <f t="shared" si="11"/>
        <v>127344</v>
      </c>
      <c r="V23" s="48">
        <f t="shared" si="12"/>
        <v>0</v>
      </c>
      <c r="W23" s="48">
        <v>0</v>
      </c>
      <c r="X23" s="49">
        <f>3975+12538.5</f>
        <v>16513.5</v>
      </c>
      <c r="Y23" s="44"/>
    </row>
    <row r="24" spans="1:25" x14ac:dyDescent="0.3">
      <c r="A24" s="47">
        <v>45895</v>
      </c>
      <c r="B24" s="48">
        <f>550+71597.59+7450</f>
        <v>79597.59</v>
      </c>
      <c r="C24" s="48">
        <f t="shared" si="1"/>
        <v>72361.44545454545</v>
      </c>
      <c r="D24" s="48">
        <f t="shared" si="2"/>
        <v>7236.1445454545456</v>
      </c>
      <c r="E24" s="48">
        <f>7275+6125+14388.91+4265</f>
        <v>32053.91</v>
      </c>
      <c r="F24" s="48">
        <f t="shared" si="3"/>
        <v>26711.591666666667</v>
      </c>
      <c r="G24" s="48">
        <f t="shared" si="4"/>
        <v>5342.3183333333336</v>
      </c>
      <c r="H24" s="48">
        <f>650+1620</f>
        <v>2270</v>
      </c>
      <c r="I24" s="48">
        <f t="shared" si="5"/>
        <v>2063.6363636363635</v>
      </c>
      <c r="J24" s="48">
        <f t="shared" si="6"/>
        <v>206.36363636363637</v>
      </c>
      <c r="K24" s="48">
        <f>1200+1000+6400+800</f>
        <v>9400</v>
      </c>
      <c r="L24" s="48">
        <f t="shared" si="7"/>
        <v>7833.3333333333339</v>
      </c>
      <c r="M24" s="48">
        <f t="shared" si="8"/>
        <v>1566.666666666667</v>
      </c>
      <c r="N24" s="48">
        <f>752.5+712.5+8853+654</f>
        <v>10972</v>
      </c>
      <c r="O24" s="48">
        <f t="shared" si="9"/>
        <v>9143.3333333333339</v>
      </c>
      <c r="P24" s="48">
        <f t="shared" si="10"/>
        <v>1828.666666666667</v>
      </c>
      <c r="Q24" s="48">
        <f>3650</f>
        <v>3650</v>
      </c>
      <c r="R24" s="48">
        <f>10427.5+7837.5+99209.5+13169</f>
        <v>130643.5</v>
      </c>
      <c r="S24" s="48">
        <v>0</v>
      </c>
      <c r="T24" s="48">
        <f t="shared" si="13"/>
        <v>134293.5</v>
      </c>
      <c r="U24" s="48">
        <f t="shared" si="11"/>
        <v>134293.5</v>
      </c>
      <c r="V24" s="48">
        <f t="shared" si="12"/>
        <v>0</v>
      </c>
      <c r="W24" s="48">
        <v>0</v>
      </c>
      <c r="X24" s="49">
        <v>40173.5</v>
      </c>
      <c r="Y24" s="44"/>
    </row>
    <row r="25" spans="1:25" x14ac:dyDescent="0.3">
      <c r="A25" s="47">
        <v>45896</v>
      </c>
      <c r="B25" s="48">
        <f>42450+12275+1375</f>
        <v>56100</v>
      </c>
      <c r="C25" s="48">
        <f t="shared" si="1"/>
        <v>50999.999999999993</v>
      </c>
      <c r="D25" s="48">
        <f t="shared" si="2"/>
        <v>5100</v>
      </c>
      <c r="E25" s="48">
        <f>3210+8435+675</f>
        <v>12320</v>
      </c>
      <c r="F25" s="48">
        <f t="shared" si="3"/>
        <v>10266.666666666668</v>
      </c>
      <c r="G25" s="48">
        <f t="shared" si="4"/>
        <v>2053.3333333333335</v>
      </c>
      <c r="H25" s="48">
        <f>3680+345+135</f>
        <v>4160</v>
      </c>
      <c r="I25" s="48">
        <f t="shared" si="5"/>
        <v>3781.8181818181815</v>
      </c>
      <c r="J25" s="48">
        <f t="shared" si="6"/>
        <v>378.18181818181819</v>
      </c>
      <c r="K25" s="48">
        <f>4900+1200+900</f>
        <v>7000</v>
      </c>
      <c r="L25" s="48">
        <f t="shared" si="7"/>
        <v>5833.3333333333339</v>
      </c>
      <c r="M25" s="48">
        <f t="shared" si="8"/>
        <v>1166.6666666666667</v>
      </c>
      <c r="N25" s="48">
        <f>4984+2105.5</f>
        <v>7089.5</v>
      </c>
      <c r="O25" s="48">
        <f t="shared" si="9"/>
        <v>5907.916666666667</v>
      </c>
      <c r="P25" s="48">
        <f t="shared" si="10"/>
        <v>1181.5833333333335</v>
      </c>
      <c r="Q25" s="48">
        <f>3085</f>
        <v>3085</v>
      </c>
      <c r="R25" s="48">
        <f>59224+24360.5-11585.5</f>
        <v>71999</v>
      </c>
      <c r="S25" s="48">
        <v>11585.5</v>
      </c>
      <c r="T25" s="48">
        <f t="shared" si="13"/>
        <v>86669.5</v>
      </c>
      <c r="U25" s="48">
        <f t="shared" si="11"/>
        <v>86669.5</v>
      </c>
      <c r="V25" s="48">
        <f t="shared" si="12"/>
        <v>0</v>
      </c>
      <c r="W25" s="48">
        <f>7.5+5</f>
        <v>12.5</v>
      </c>
      <c r="X25" s="49">
        <f>16007.5+11752+12640</f>
        <v>40399.5</v>
      </c>
      <c r="Y25" s="44"/>
    </row>
    <row r="26" spans="1:25" x14ac:dyDescent="0.3">
      <c r="A26" s="47">
        <v>45897</v>
      </c>
      <c r="B26" s="48">
        <f>31125+3775</f>
        <v>34900</v>
      </c>
      <c r="C26" s="48">
        <f t="shared" si="1"/>
        <v>31727.272727272724</v>
      </c>
      <c r="D26" s="48">
        <f t="shared" si="2"/>
        <v>3172.7272727272725</v>
      </c>
      <c r="E26" s="48">
        <f>7425+7965+5330</f>
        <v>20720</v>
      </c>
      <c r="F26" s="48">
        <f t="shared" si="3"/>
        <v>17266.666666666668</v>
      </c>
      <c r="G26" s="48">
        <f t="shared" si="4"/>
        <v>3453.3333333333339</v>
      </c>
      <c r="H26" s="48">
        <f>1930</f>
        <v>1930</v>
      </c>
      <c r="I26" s="48">
        <f t="shared" si="5"/>
        <v>1754.5454545454545</v>
      </c>
      <c r="J26" s="48">
        <f t="shared" si="6"/>
        <v>175.45454545454547</v>
      </c>
      <c r="K26" s="48">
        <f>1000+3400+400</f>
        <v>4800</v>
      </c>
      <c r="L26" s="48">
        <f t="shared" si="7"/>
        <v>4000</v>
      </c>
      <c r="M26" s="48">
        <f t="shared" si="8"/>
        <v>800</v>
      </c>
      <c r="N26" s="48">
        <f>692.5+4102</f>
        <v>4794.5</v>
      </c>
      <c r="O26" s="48">
        <f t="shared" si="9"/>
        <v>3995.416666666667</v>
      </c>
      <c r="P26" s="48">
        <f t="shared" si="10"/>
        <v>799.08333333333348</v>
      </c>
      <c r="Q26" s="48">
        <f>2500+9505</f>
        <v>12005</v>
      </c>
      <c r="R26" s="48">
        <f>6617.5+48522</f>
        <v>55139.5</v>
      </c>
      <c r="S26" s="48">
        <v>0</v>
      </c>
      <c r="T26" s="48">
        <f t="shared" si="13"/>
        <v>67144.5</v>
      </c>
      <c r="U26" s="48">
        <f t="shared" si="11"/>
        <v>67144.5</v>
      </c>
      <c r="V26" s="48">
        <f t="shared" si="12"/>
        <v>0</v>
      </c>
      <c r="W26" s="48">
        <v>9505</v>
      </c>
      <c r="X26" s="49">
        <v>0</v>
      </c>
      <c r="Y26" s="44"/>
    </row>
    <row r="27" spans="1:25" x14ac:dyDescent="0.3">
      <c r="A27" s="47">
        <v>45898</v>
      </c>
      <c r="B27" s="48">
        <f>2950+49700+4100+500</f>
        <v>57250</v>
      </c>
      <c r="C27" s="48">
        <f t="shared" si="1"/>
        <v>52045.454545454544</v>
      </c>
      <c r="D27" s="48">
        <f t="shared" si="2"/>
        <v>5204.545454545455</v>
      </c>
      <c r="E27" s="48">
        <f>3500+8925+8705+850+8445</f>
        <v>30425</v>
      </c>
      <c r="F27" s="48">
        <f t="shared" si="3"/>
        <v>25354.166666666668</v>
      </c>
      <c r="G27" s="48">
        <f t="shared" si="4"/>
        <v>5070.8333333333339</v>
      </c>
      <c r="H27" s="48">
        <f>295+2250+300</f>
        <v>2845</v>
      </c>
      <c r="I27" s="48">
        <f t="shared" si="5"/>
        <v>2586.363636363636</v>
      </c>
      <c r="J27" s="48">
        <f t="shared" si="6"/>
        <v>258.63636363636363</v>
      </c>
      <c r="K27" s="48">
        <f>400+1000+1800+5400+400+1600</f>
        <v>10600</v>
      </c>
      <c r="L27" s="48">
        <f t="shared" si="7"/>
        <v>8833.3333333333339</v>
      </c>
      <c r="M27" s="48">
        <f t="shared" si="8"/>
        <v>1766.666666666667</v>
      </c>
      <c r="N27" s="48">
        <f>450+1072.5+6165.5+495+422</f>
        <v>8605</v>
      </c>
      <c r="O27" s="48">
        <f t="shared" si="9"/>
        <v>7170.8333333333339</v>
      </c>
      <c r="P27" s="48">
        <f t="shared" si="10"/>
        <v>1434.166666666667</v>
      </c>
      <c r="Q27" s="48">
        <f>3645</f>
        <v>3645</v>
      </c>
      <c r="R27" s="48">
        <f>4950+11797.5+72220.5-5597.5+5845+11267</f>
        <v>100482.5</v>
      </c>
      <c r="S27" s="48">
        <f>5597.5</f>
        <v>5597.5</v>
      </c>
      <c r="T27" s="48">
        <f t="shared" si="13"/>
        <v>109725</v>
      </c>
      <c r="U27" s="48">
        <f t="shared" si="11"/>
        <v>109725</v>
      </c>
      <c r="V27" s="48">
        <f t="shared" si="12"/>
        <v>0</v>
      </c>
      <c r="W27" s="48"/>
      <c r="X27" s="49">
        <f>33508+17500+11976</f>
        <v>62984</v>
      </c>
      <c r="Y27" s="44"/>
    </row>
    <row r="28" spans="1:25" s="53" customFormat="1" x14ac:dyDescent="0.3">
      <c r="A28" s="51">
        <v>45899</v>
      </c>
      <c r="B28" s="39">
        <f>50970+7275</f>
        <v>58245</v>
      </c>
      <c r="C28" s="39">
        <f t="shared" si="1"/>
        <v>52949.999999999993</v>
      </c>
      <c r="D28" s="39">
        <f t="shared" si="2"/>
        <v>5295</v>
      </c>
      <c r="E28" s="39">
        <f>20357+12250+4675</f>
        <v>37282</v>
      </c>
      <c r="F28" s="39">
        <f t="shared" si="3"/>
        <v>31068.333333333336</v>
      </c>
      <c r="G28" s="39">
        <f t="shared" si="4"/>
        <v>6213.6666666666679</v>
      </c>
      <c r="H28" s="39">
        <f>3230+75</f>
        <v>3305</v>
      </c>
      <c r="I28" s="39">
        <f t="shared" si="5"/>
        <v>3004.5454545454545</v>
      </c>
      <c r="J28" s="39">
        <f t="shared" si="6"/>
        <v>300.45454545454544</v>
      </c>
      <c r="K28" s="39">
        <f>6000+2200+1200</f>
        <v>9400</v>
      </c>
      <c r="L28" s="39">
        <f t="shared" si="7"/>
        <v>7833.3333333333339</v>
      </c>
      <c r="M28" s="39">
        <f t="shared" si="8"/>
        <v>1566.666666666667</v>
      </c>
      <c r="N28" s="39">
        <f>7302+2092.5+415</f>
        <v>9809.5</v>
      </c>
      <c r="O28" s="39">
        <f t="shared" si="9"/>
        <v>8174.5833333333339</v>
      </c>
      <c r="P28" s="39">
        <f t="shared" si="10"/>
        <v>1634.916666666667</v>
      </c>
      <c r="Q28" s="39">
        <v>4200</v>
      </c>
      <c r="R28" s="39">
        <f>87859-5943.5+23817.5-1980+2165</f>
        <v>105918</v>
      </c>
      <c r="S28" s="39">
        <f>1980+5943.5</f>
        <v>7923.5</v>
      </c>
      <c r="T28" s="48">
        <f t="shared" si="13"/>
        <v>118041.5</v>
      </c>
      <c r="U28" s="48">
        <f t="shared" si="11"/>
        <v>118041.5</v>
      </c>
      <c r="V28" s="48">
        <f t="shared" si="12"/>
        <v>0</v>
      </c>
      <c r="W28" s="39"/>
      <c r="X28" s="52">
        <f>35262.5+33781+0.5</f>
        <v>69044</v>
      </c>
      <c r="Y28" s="40"/>
    </row>
    <row r="29" spans="1:25" s="53" customFormat="1" x14ac:dyDescent="0.3">
      <c r="A29" s="51">
        <v>45900</v>
      </c>
      <c r="B29" s="39">
        <f>71720</f>
        <v>71720</v>
      </c>
      <c r="C29" s="39">
        <f t="shared" ref="C29" si="14">B29/1.1</f>
        <v>65199.999999999993</v>
      </c>
      <c r="D29" s="39">
        <f t="shared" ref="D29" si="15">C29*0.1</f>
        <v>6520</v>
      </c>
      <c r="E29" s="39">
        <f>8430+12925</f>
        <v>21355</v>
      </c>
      <c r="F29" s="39">
        <f t="shared" ref="F29" si="16">E29/1.2</f>
        <v>17795.833333333336</v>
      </c>
      <c r="G29" s="39">
        <f t="shared" ref="G29" si="17">F29*0.2</f>
        <v>3559.1666666666674</v>
      </c>
      <c r="H29" s="39">
        <f>1150+1540</f>
        <v>2690</v>
      </c>
      <c r="I29" s="39">
        <f t="shared" ref="I29" si="18">H29/1.1</f>
        <v>2445.454545454545</v>
      </c>
      <c r="J29" s="39">
        <f t="shared" ref="J29" si="19">I29*0.1</f>
        <v>244.5454545454545</v>
      </c>
      <c r="K29" s="39">
        <f>1800+7400</f>
        <v>9200</v>
      </c>
      <c r="L29" s="39">
        <f t="shared" ref="L29" si="20">K29/1.2</f>
        <v>7666.666666666667</v>
      </c>
      <c r="M29" s="39">
        <f t="shared" ref="M29" si="21">L29*0.2</f>
        <v>1533.3333333333335</v>
      </c>
      <c r="N29" s="39">
        <f>1138+8618.5</f>
        <v>9756.5</v>
      </c>
      <c r="O29" s="39">
        <f t="shared" ref="O29" si="22">N29/1.2</f>
        <v>8130.416666666667</v>
      </c>
      <c r="P29" s="39">
        <f t="shared" ref="P29" si="23">O29*0.2</f>
        <v>1626.0833333333335</v>
      </c>
      <c r="Q29" s="39">
        <f>5165</f>
        <v>5165</v>
      </c>
      <c r="R29" s="39">
        <f>12518+97038.5-5317</f>
        <v>104239.5</v>
      </c>
      <c r="S29" s="39">
        <v>5317</v>
      </c>
      <c r="T29" s="48">
        <f t="shared" si="13"/>
        <v>114721.5</v>
      </c>
      <c r="U29" s="48">
        <f t="shared" si="11"/>
        <v>114721.5</v>
      </c>
      <c r="V29" s="48">
        <f t="shared" si="12"/>
        <v>0</v>
      </c>
      <c r="W29" s="39">
        <v>3100</v>
      </c>
      <c r="X29" s="52">
        <f>23300+14775+44161</f>
        <v>82236</v>
      </c>
      <c r="Y29" s="40"/>
    </row>
    <row r="30" spans="1:25" x14ac:dyDescent="0.3">
      <c r="B30" s="55">
        <f>SUM(B3:B29)</f>
        <v>1430761.34</v>
      </c>
      <c r="C30" s="56">
        <f>B30/1.1</f>
        <v>1300692.1272727272</v>
      </c>
      <c r="D30" s="56">
        <f t="shared" ref="D30" si="24">C30*10/100</f>
        <v>130069.21272727271</v>
      </c>
      <c r="E30" s="55">
        <f>SUM(E3:E29)</f>
        <v>718961.66</v>
      </c>
      <c r="F30" s="56">
        <f t="shared" si="3"/>
        <v>599134.71666666667</v>
      </c>
      <c r="G30" s="56">
        <f t="shared" ref="G30" si="25">F30*20/100</f>
        <v>119826.94333333334</v>
      </c>
      <c r="H30" s="55">
        <f>SUM(H3:H29)</f>
        <v>73746.5</v>
      </c>
      <c r="I30" s="56">
        <f t="shared" si="5"/>
        <v>67042.272727272721</v>
      </c>
      <c r="J30" s="56">
        <f t="shared" ref="J30" si="26">I30*10/100</f>
        <v>6704.2272727272721</v>
      </c>
      <c r="K30" s="55">
        <f>SUM(K3:K29)</f>
        <v>234150</v>
      </c>
      <c r="L30" s="56">
        <f t="shared" si="7"/>
        <v>195125</v>
      </c>
      <c r="M30" s="56">
        <f t="shared" ref="M30" si="27">L30*20/100</f>
        <v>39025</v>
      </c>
      <c r="N30" s="55">
        <f>SUM(N3:N29)</f>
        <v>219543</v>
      </c>
      <c r="O30" s="56">
        <f t="shared" si="9"/>
        <v>182952.5</v>
      </c>
      <c r="P30" s="56">
        <f t="shared" ref="P30" si="28">O30*20/100</f>
        <v>36590.5</v>
      </c>
      <c r="Q30" s="55">
        <f>SUM(Q3:Q29)</f>
        <v>123324</v>
      </c>
      <c r="R30" s="55">
        <f>SUM(R3:R29)</f>
        <v>2432371.2999999998</v>
      </c>
      <c r="S30" s="55">
        <f>SUM(S3:S29)</f>
        <v>121467.2</v>
      </c>
      <c r="T30" s="55"/>
      <c r="U30" s="55"/>
      <c r="V30" s="55"/>
      <c r="W30" s="55">
        <f>SUM(W3:W29)</f>
        <v>38792</v>
      </c>
      <c r="X30" s="55">
        <f>SUM(X3:X29)</f>
        <v>1376037.5</v>
      </c>
      <c r="Y30" s="44"/>
    </row>
    <row r="31" spans="1:25" x14ac:dyDescent="0.3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>
        <v>9505</v>
      </c>
      <c r="X31" s="57" t="s">
        <v>55</v>
      </c>
    </row>
    <row r="32" spans="1:25" x14ac:dyDescent="0.3"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5">
        <f>W30-W31</f>
        <v>29287</v>
      </c>
      <c r="X32" s="57"/>
    </row>
    <row r="33" spans="1:25" x14ac:dyDescent="0.3">
      <c r="B33" s="6">
        <v>128918.26000000001</v>
      </c>
      <c r="C33" s="10">
        <v>117198.41818181818</v>
      </c>
      <c r="D33" s="10">
        <v>11719.84181818182</v>
      </c>
      <c r="H33" s="6">
        <v>699631.74</v>
      </c>
      <c r="I33" s="10">
        <v>636028.85454545449</v>
      </c>
      <c r="J33" s="10">
        <v>63602.885454545452</v>
      </c>
      <c r="Q33" s="6">
        <v>161784.65000000002</v>
      </c>
      <c r="R33" s="6">
        <v>632311.23</v>
      </c>
      <c r="S33" s="99">
        <v>26059.17</v>
      </c>
      <c r="T33" s="99">
        <v>3980</v>
      </c>
      <c r="U33" s="99">
        <v>2780</v>
      </c>
      <c r="V33" s="99">
        <v>12200</v>
      </c>
      <c r="W33" s="99">
        <v>8395</v>
      </c>
      <c r="X33" s="57">
        <f>X30+W30</f>
        <v>1414829.5</v>
      </c>
    </row>
    <row r="34" spans="1:25" x14ac:dyDescent="0.3">
      <c r="Q34" s="57"/>
      <c r="R34" s="57"/>
      <c r="X34" s="43">
        <v>9505</v>
      </c>
      <c r="Y34" s="101" t="s">
        <v>76</v>
      </c>
    </row>
    <row r="35" spans="1:25" x14ac:dyDescent="0.3">
      <c r="Q35" s="57"/>
      <c r="R35" s="57"/>
      <c r="X35" s="57">
        <f>X33-X34</f>
        <v>1405324.5</v>
      </c>
    </row>
    <row r="36" spans="1:25" x14ac:dyDescent="0.3">
      <c r="Q36" s="57"/>
      <c r="R36" s="57"/>
      <c r="X36" s="57"/>
    </row>
    <row r="37" spans="1:25" ht="15" thickBot="1" x14ac:dyDescent="0.35">
      <c r="Q37" s="57"/>
      <c r="R37" s="57"/>
      <c r="T37" s="57"/>
      <c r="X37" s="57"/>
    </row>
    <row r="38" spans="1:25" x14ac:dyDescent="0.3">
      <c r="A38" s="76"/>
      <c r="B38" s="77"/>
      <c r="C38" s="77"/>
      <c r="D38" s="77"/>
      <c r="E38" s="78"/>
      <c r="G38" s="76"/>
      <c r="H38" s="77"/>
      <c r="I38" s="77"/>
      <c r="J38" s="77"/>
      <c r="K38" s="78"/>
      <c r="Q38" s="57"/>
      <c r="R38" s="57"/>
      <c r="X38" s="57"/>
    </row>
    <row r="39" spans="1:25" x14ac:dyDescent="0.3">
      <c r="A39" s="142" t="s">
        <v>63</v>
      </c>
      <c r="B39" s="143"/>
      <c r="C39" s="143"/>
      <c r="D39" s="143"/>
      <c r="E39" s="144"/>
      <c r="G39" s="142" t="s">
        <v>75</v>
      </c>
      <c r="H39" s="143"/>
      <c r="I39" s="143"/>
      <c r="J39" s="143"/>
      <c r="K39" s="144"/>
    </row>
    <row r="40" spans="1:25" x14ac:dyDescent="0.3">
      <c r="A40" s="79"/>
      <c r="B40" s="80"/>
      <c r="C40" s="80"/>
      <c r="D40" s="80"/>
      <c r="E40" s="81"/>
      <c r="G40" s="79"/>
      <c r="H40" s="80"/>
      <c r="I40" s="80"/>
      <c r="J40" s="80"/>
      <c r="K40" s="81"/>
    </row>
    <row r="41" spans="1:25" customFormat="1" ht="16.2" customHeight="1" x14ac:dyDescent="0.3">
      <c r="A41" s="82" t="s">
        <v>33</v>
      </c>
      <c r="B41" s="83">
        <v>1</v>
      </c>
      <c r="C41" s="84">
        <v>2</v>
      </c>
      <c r="D41" s="84" t="s">
        <v>37</v>
      </c>
      <c r="E41" s="85" t="s">
        <v>56</v>
      </c>
      <c r="G41" s="82"/>
      <c r="H41" s="83">
        <v>1</v>
      </c>
      <c r="I41" s="84"/>
      <c r="J41" s="84" t="s">
        <v>37</v>
      </c>
      <c r="K41" s="85" t="s">
        <v>56</v>
      </c>
      <c r="O41" t="s">
        <v>58</v>
      </c>
      <c r="Q41" t="s">
        <v>59</v>
      </c>
      <c r="R41" t="s">
        <v>60</v>
      </c>
      <c r="S41" t="s">
        <v>61</v>
      </c>
      <c r="T41" t="s">
        <v>62</v>
      </c>
      <c r="V41" s="4"/>
    </row>
    <row r="42" spans="1:25" customFormat="1" ht="16.2" customHeight="1" x14ac:dyDescent="0.3">
      <c r="A42" s="86">
        <v>0.1</v>
      </c>
      <c r="B42" s="83">
        <v>1447782.84</v>
      </c>
      <c r="C42" s="83">
        <v>56725</v>
      </c>
      <c r="D42" s="83">
        <v>828550.05</v>
      </c>
      <c r="E42" s="85">
        <f>SUM(B42:D42)</f>
        <v>2333057.89</v>
      </c>
      <c r="F42" s="5"/>
      <c r="G42" s="86">
        <v>0.1</v>
      </c>
      <c r="H42" s="83">
        <f>B30+H30</f>
        <v>1504507.84</v>
      </c>
      <c r="I42" s="83"/>
      <c r="J42" s="83">
        <v>828550</v>
      </c>
      <c r="K42" s="85">
        <f>SUM(H42:J42)</f>
        <v>2333057.84</v>
      </c>
      <c r="L42" s="5"/>
      <c r="N42" s="72">
        <v>0.1</v>
      </c>
      <c r="O42" s="5">
        <v>0</v>
      </c>
      <c r="Q42" s="5">
        <f>3033780.55-21933.85+9409.09</f>
        <v>3021255.7899999996</v>
      </c>
      <c r="R42" s="5">
        <v>753249.89</v>
      </c>
      <c r="S42" s="5">
        <f>SUM(Q42:R42)</f>
        <v>3774505.6799999997</v>
      </c>
      <c r="T42" s="5">
        <f>S42*10/100</f>
        <v>377450.56799999997</v>
      </c>
      <c r="U42">
        <v>377450.5</v>
      </c>
      <c r="V42" s="100">
        <f>T42-U42</f>
        <v>6.7999999970197678E-2</v>
      </c>
    </row>
    <row r="43" spans="1:25" customFormat="1" ht="16.2" customHeight="1" x14ac:dyDescent="0.3">
      <c r="A43" s="86">
        <v>0.2</v>
      </c>
      <c r="B43" s="83">
        <v>920807.16</v>
      </c>
      <c r="C43" s="83">
        <v>251847.5</v>
      </c>
      <c r="D43" s="83"/>
      <c r="E43" s="85">
        <f>SUM(B43:D43)</f>
        <v>1172654.6600000001</v>
      </c>
      <c r="F43" s="5"/>
      <c r="G43" s="86">
        <v>0.2</v>
      </c>
      <c r="H43" s="83">
        <f>E30+K30+N30</f>
        <v>1172654.6600000001</v>
      </c>
      <c r="I43" s="83"/>
      <c r="J43" s="83"/>
      <c r="K43" s="85">
        <f>SUM(H43:J43)</f>
        <v>1172654.6600000001</v>
      </c>
      <c r="L43" s="5"/>
      <c r="N43" s="72">
        <v>0.2</v>
      </c>
      <c r="O43" s="5">
        <f>D43</f>
        <v>0</v>
      </c>
      <c r="Q43" s="5">
        <f>1520928.88-6386.44</f>
        <v>1514542.44</v>
      </c>
      <c r="R43" s="5"/>
      <c r="S43" s="5">
        <f>SUM(Q43:R43)</f>
        <v>1514542.44</v>
      </c>
      <c r="T43" s="5">
        <f>S43*20/100</f>
        <v>302908.48799999995</v>
      </c>
      <c r="U43">
        <v>302908.49</v>
      </c>
      <c r="V43" s="100">
        <f>T43-U43</f>
        <v>-2.0000000367872417E-3</v>
      </c>
    </row>
    <row r="44" spans="1:25" customFormat="1" ht="16.2" customHeight="1" x14ac:dyDescent="0.3">
      <c r="A44" s="87" t="s">
        <v>56</v>
      </c>
      <c r="B44" s="88">
        <f>SUM(B42:B43)</f>
        <v>2368590</v>
      </c>
      <c r="C44" s="88">
        <f>SUM(C42:C43)</f>
        <v>308572.5</v>
      </c>
      <c r="D44" s="88">
        <f>SUM(D42:D43)</f>
        <v>828550.05</v>
      </c>
      <c r="E44" s="85">
        <f>SUM(E42:E43)</f>
        <v>3505712.5500000003</v>
      </c>
      <c r="F44" s="6"/>
      <c r="G44" s="87" t="s">
        <v>56</v>
      </c>
      <c r="H44" s="88">
        <f>SUM(H42:H43)</f>
        <v>2677162.5</v>
      </c>
      <c r="I44" s="88"/>
      <c r="J44" s="88">
        <f>SUM(J42:J43)</f>
        <v>828550</v>
      </c>
      <c r="K44" s="89">
        <f>SUM(K42:K43)</f>
        <v>3505712.5</v>
      </c>
      <c r="L44" s="5"/>
      <c r="Q44" s="5"/>
      <c r="R44" s="5"/>
      <c r="S44" s="5">
        <f>SUM(S42:S43)</f>
        <v>5289048.1199999992</v>
      </c>
      <c r="T44" s="5">
        <f>SUM(T42:T43)</f>
        <v>680359.05599999987</v>
      </c>
      <c r="U44" s="5">
        <f>S44+T44</f>
        <v>5969407.175999999</v>
      </c>
      <c r="V44" s="73" t="s">
        <v>64</v>
      </c>
    </row>
    <row r="45" spans="1:25" customFormat="1" ht="16.2" customHeight="1" x14ac:dyDescent="0.3">
      <c r="A45" s="82" t="s">
        <v>65</v>
      </c>
      <c r="B45" s="83">
        <v>103875.5</v>
      </c>
      <c r="C45" s="83">
        <v>58240.5</v>
      </c>
      <c r="D45" s="83">
        <v>161784.65</v>
      </c>
      <c r="E45" s="85">
        <f>SUM(B45:D45)</f>
        <v>323900.65000000002</v>
      </c>
      <c r="F45" s="5"/>
      <c r="G45" s="82" t="s">
        <v>65</v>
      </c>
      <c r="H45" s="83">
        <f>Q30+W30</f>
        <v>162116</v>
      </c>
      <c r="I45" s="83"/>
      <c r="J45" s="83">
        <f>Q33</f>
        <v>161784.65000000002</v>
      </c>
      <c r="K45" s="85">
        <f>SUM(H45:J45)</f>
        <v>323900.65000000002</v>
      </c>
      <c r="L45" s="5"/>
      <c r="O45" s="74" t="s">
        <v>66</v>
      </c>
      <c r="P45" s="74"/>
      <c r="Q45" s="6"/>
      <c r="R45" s="6"/>
      <c r="U45" s="5">
        <f>E44</f>
        <v>3505712.5500000003</v>
      </c>
      <c r="V45" s="73" t="s">
        <v>67</v>
      </c>
    </row>
    <row r="46" spans="1:25" customFormat="1" ht="16.2" customHeight="1" x14ac:dyDescent="0.3">
      <c r="A46" s="82" t="s">
        <v>57</v>
      </c>
      <c r="B46" s="83">
        <v>3560603</v>
      </c>
      <c r="C46" s="83">
        <v>369273</v>
      </c>
      <c r="D46" s="83">
        <v>658370.4</v>
      </c>
      <c r="E46" s="85">
        <f>SUM(B46:D46)</f>
        <v>4588246.4000000004</v>
      </c>
      <c r="F46" s="5"/>
      <c r="G46" s="82" t="s">
        <v>57</v>
      </c>
      <c r="H46" s="83">
        <f>R30+S30+X30</f>
        <v>3929876</v>
      </c>
      <c r="I46" s="83"/>
      <c r="J46" s="83">
        <f>R33+S33</f>
        <v>658370.4</v>
      </c>
      <c r="K46" s="85">
        <f>SUM(H46:J46)</f>
        <v>4588246.4000000004</v>
      </c>
      <c r="L46" s="5"/>
      <c r="Q46" s="5"/>
      <c r="R46" s="5"/>
      <c r="U46" s="5">
        <v>1405324.5</v>
      </c>
      <c r="V46" s="73" t="s">
        <v>68</v>
      </c>
    </row>
    <row r="47" spans="1:25" customFormat="1" ht="16.2" customHeight="1" x14ac:dyDescent="0.3">
      <c r="A47" s="87" t="s">
        <v>56</v>
      </c>
      <c r="B47" s="88">
        <f>SUM(B45:B46)</f>
        <v>3664478.5</v>
      </c>
      <c r="C47" s="88">
        <f>SUM(C45:C46)</f>
        <v>427513.5</v>
      </c>
      <c r="D47" s="88">
        <f>SUM(D45:D46)</f>
        <v>820155.05</v>
      </c>
      <c r="E47" s="89">
        <f>SUM(B47:D47)</f>
        <v>4912147.05</v>
      </c>
      <c r="F47" s="6"/>
      <c r="G47" s="87" t="s">
        <v>56</v>
      </c>
      <c r="H47" s="88">
        <f>SUM(H45:H46)</f>
        <v>4091992</v>
      </c>
      <c r="I47" s="88"/>
      <c r="J47" s="88">
        <f>SUM(J45:J46)</f>
        <v>820155.05</v>
      </c>
      <c r="K47" s="89">
        <f>SUM(H47:J47)</f>
        <v>4912147.05</v>
      </c>
      <c r="L47" s="5"/>
      <c r="Q47" s="5"/>
      <c r="R47" s="5"/>
      <c r="U47" s="5">
        <v>0</v>
      </c>
      <c r="V47" s="75" t="s">
        <v>69</v>
      </c>
    </row>
    <row r="48" spans="1:25" customFormat="1" ht="16.2" customHeight="1" x14ac:dyDescent="0.3">
      <c r="A48" s="90" t="s">
        <v>70</v>
      </c>
      <c r="B48" s="91">
        <f>B47-B44</f>
        <v>1295888.5</v>
      </c>
      <c r="C48" s="91">
        <f t="shared" ref="C48:D48" si="29">C47-C44</f>
        <v>118941</v>
      </c>
      <c r="D48" s="91">
        <f t="shared" si="29"/>
        <v>-8395</v>
      </c>
      <c r="E48" s="92"/>
      <c r="G48" s="90" t="s">
        <v>70</v>
      </c>
      <c r="H48" s="91">
        <f>H47-H44</f>
        <v>1414829.5</v>
      </c>
      <c r="I48" s="91"/>
      <c r="J48" s="91">
        <f t="shared" ref="J48" si="30">J47-J44</f>
        <v>-8394.9499999999534</v>
      </c>
      <c r="K48" s="92"/>
      <c r="L48" s="5"/>
      <c r="T48" s="74" t="s">
        <v>61</v>
      </c>
      <c r="U48" s="5">
        <f>SUM(U45:U47)</f>
        <v>4911037.0500000007</v>
      </c>
      <c r="V48" s="4"/>
    </row>
    <row r="49" spans="1:22" customFormat="1" ht="16.2" customHeight="1" x14ac:dyDescent="0.3">
      <c r="A49" s="93" t="s">
        <v>71</v>
      </c>
      <c r="B49" s="94">
        <v>1295888.5</v>
      </c>
      <c r="C49" s="94">
        <v>118941</v>
      </c>
      <c r="D49" s="94">
        <v>8395</v>
      </c>
      <c r="E49" s="92"/>
      <c r="F49" s="6"/>
      <c r="G49" s="93" t="s">
        <v>71</v>
      </c>
      <c r="H49" s="94">
        <f>W30+X30</f>
        <v>1414829.5</v>
      </c>
      <c r="I49" s="94"/>
      <c r="J49" s="94">
        <v>8395</v>
      </c>
      <c r="K49" s="92"/>
      <c r="U49" s="5">
        <f>U44-U48</f>
        <v>1058370.1259999983</v>
      </c>
      <c r="V49" s="75" t="s">
        <v>72</v>
      </c>
    </row>
    <row r="50" spans="1:22" customFormat="1" x14ac:dyDescent="0.3">
      <c r="A50" s="82"/>
      <c r="B50" s="83">
        <f>B48-B49</f>
        <v>0</v>
      </c>
      <c r="C50" s="83">
        <f>C48-C49</f>
        <v>0</v>
      </c>
      <c r="D50" s="84">
        <v>18960</v>
      </c>
      <c r="E50" s="95" t="s">
        <v>74</v>
      </c>
      <c r="G50" s="82"/>
      <c r="H50" s="83">
        <f>H48-H49</f>
        <v>0</v>
      </c>
      <c r="I50" s="83"/>
      <c r="J50" s="84">
        <v>18960</v>
      </c>
      <c r="K50" s="95" t="s">
        <v>74</v>
      </c>
      <c r="U50" s="5">
        <v>1092490.02</v>
      </c>
      <c r="V50" s="75" t="s">
        <v>73</v>
      </c>
    </row>
    <row r="51" spans="1:22" customFormat="1" x14ac:dyDescent="0.3">
      <c r="A51" s="82"/>
      <c r="B51" s="83"/>
      <c r="C51" s="83"/>
      <c r="D51" s="84"/>
      <c r="E51" s="95"/>
      <c r="G51" s="82"/>
      <c r="H51" s="83"/>
      <c r="I51" s="83"/>
      <c r="J51" s="84"/>
      <c r="K51" s="95"/>
      <c r="U51" s="5">
        <f>11995+9500+11000+8000+4000</f>
        <v>44495</v>
      </c>
      <c r="V51" s="75" t="s">
        <v>77</v>
      </c>
    </row>
    <row r="52" spans="1:22" customFormat="1" x14ac:dyDescent="0.3">
      <c r="A52" s="82"/>
      <c r="B52" s="83"/>
      <c r="C52" s="83"/>
      <c r="D52" s="84"/>
      <c r="E52" s="95"/>
      <c r="G52" s="82"/>
      <c r="H52" s="83"/>
      <c r="I52" s="83"/>
      <c r="J52" s="84"/>
      <c r="K52" s="95"/>
      <c r="U52" s="5">
        <f>U50-U51</f>
        <v>1047995.02</v>
      </c>
      <c r="V52" s="75" t="s">
        <v>78</v>
      </c>
    </row>
    <row r="53" spans="1:22" customFormat="1" ht="15" thickBot="1" x14ac:dyDescent="0.35">
      <c r="A53" s="96"/>
      <c r="B53" s="97"/>
      <c r="C53" s="97"/>
      <c r="D53" s="97"/>
      <c r="E53" s="98"/>
      <c r="G53" s="96"/>
      <c r="H53" s="97"/>
      <c r="I53" s="97"/>
      <c r="J53" s="97"/>
      <c r="K53" s="98"/>
      <c r="T53" s="74" t="s">
        <v>72</v>
      </c>
      <c r="U53" s="5">
        <f>U49-U52</f>
        <v>10375.105999998283</v>
      </c>
      <c r="V53" s="4"/>
    </row>
    <row r="54" spans="1:22" customFormat="1" x14ac:dyDescent="0.3">
      <c r="A54" s="4"/>
      <c r="U54" s="5">
        <v>24.87</v>
      </c>
      <c r="V54" s="75" t="s">
        <v>79</v>
      </c>
    </row>
    <row r="55" spans="1:22" customFormat="1" x14ac:dyDescent="0.3">
      <c r="A55" s="4"/>
      <c r="U55" s="5">
        <f>U53-U54</f>
        <v>10350.235999998282</v>
      </c>
      <c r="V55" s="75"/>
    </row>
    <row r="56" spans="1:22" customFormat="1" x14ac:dyDescent="0.3">
      <c r="A56" s="4"/>
      <c r="U56" s="6"/>
      <c r="V56" s="4"/>
    </row>
    <row r="57" spans="1:22" customFormat="1" x14ac:dyDescent="0.3">
      <c r="A57" s="4"/>
      <c r="U57" s="5"/>
      <c r="V57" s="75"/>
    </row>
    <row r="58" spans="1:22" customFormat="1" x14ac:dyDescent="0.3">
      <c r="A58" s="4"/>
      <c r="U58" s="5"/>
      <c r="V58" s="75"/>
    </row>
    <row r="59" spans="1:22" customFormat="1" x14ac:dyDescent="0.3">
      <c r="A59" s="4"/>
      <c r="U59" s="5"/>
      <c r="V59" s="4"/>
    </row>
    <row r="60" spans="1:22" customFormat="1" x14ac:dyDescent="0.3">
      <c r="A60" s="4"/>
      <c r="V60" s="4"/>
    </row>
    <row r="61" spans="1:22" customFormat="1" x14ac:dyDescent="0.3">
      <c r="A61" s="4"/>
      <c r="V61" s="4"/>
    </row>
  </sheetData>
  <mergeCells count="3">
    <mergeCell ref="W1:X1"/>
    <mergeCell ref="A39:E39"/>
    <mergeCell ref="G39:K39"/>
  </mergeCells>
  <pageMargins left="0.7" right="0.7" top="0.75" bottom="0.75" header="0.3" footer="0.3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16" workbookViewId="0">
      <selection activeCell="A30" sqref="A30:XFD3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10.109375" bestFit="1" customWidth="1"/>
    <col min="15" max="15" width="10" bestFit="1" customWidth="1"/>
    <col min="16" max="16" width="9" bestFit="1" customWidth="1"/>
    <col min="17" max="17" width="9.109375" bestFit="1" customWidth="1"/>
    <col min="18" max="18" width="11.6640625" bestFit="1" customWidth="1"/>
    <col min="19" max="19" width="11.6640625" customWidth="1"/>
    <col min="20" max="21" width="13.88671875" customWidth="1"/>
    <col min="22" max="22" width="14.664062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38" t="s">
        <v>8</v>
      </c>
      <c r="U1" s="139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45839</v>
      </c>
      <c r="B3" s="11">
        <f>9890+5700+31410</f>
        <v>47000</v>
      </c>
      <c r="C3" s="9">
        <f>B3/1.1</f>
        <v>42727.272727272721</v>
      </c>
      <c r="D3" s="9">
        <f>C3*0.1</f>
        <v>4272.7272727272721</v>
      </c>
      <c r="E3" s="11">
        <f>13240+16875+4185+6225</f>
        <v>40525</v>
      </c>
      <c r="F3" s="9">
        <f>E3/1.2</f>
        <v>33770.833333333336</v>
      </c>
      <c r="G3" s="9">
        <f>F3*0.2</f>
        <v>6754.1666666666679</v>
      </c>
      <c r="H3" s="11">
        <f>3075+965+2655</f>
        <v>6695</v>
      </c>
      <c r="I3" s="9">
        <f>H3/1.1</f>
        <v>6086.363636363636</v>
      </c>
      <c r="J3" s="9">
        <f>I3*0.1</f>
        <v>608.63636363636363</v>
      </c>
      <c r="K3" s="11">
        <f>4400+1600+1600+3800</f>
        <v>11400</v>
      </c>
      <c r="L3" s="9">
        <f>K3/1.2</f>
        <v>9500</v>
      </c>
      <c r="M3" s="9">
        <f>L3*0.2</f>
        <v>1900</v>
      </c>
      <c r="N3" s="11">
        <f>200+400</f>
        <v>600</v>
      </c>
      <c r="O3" s="9">
        <f>N3/1.2</f>
        <v>500</v>
      </c>
      <c r="P3" s="9">
        <f>O3*0.2</f>
        <v>100</v>
      </c>
      <c r="Q3" s="11">
        <f>1200+2300+4755</f>
        <v>8255</v>
      </c>
      <c r="R3" s="11">
        <f>29405+16175+12650+39735-2520</f>
        <v>95445</v>
      </c>
      <c r="S3" s="11">
        <v>2520</v>
      </c>
      <c r="T3" s="11">
        <v>2565</v>
      </c>
      <c r="U3" s="17">
        <f>64200</f>
        <v>64200</v>
      </c>
      <c r="V3" s="3"/>
    </row>
    <row r="4" spans="1:22" ht="43.2" x14ac:dyDescent="0.3">
      <c r="A4" s="8">
        <v>45840</v>
      </c>
      <c r="B4" s="11">
        <f>450+29140</f>
        <v>29590</v>
      </c>
      <c r="C4" s="9">
        <f t="shared" ref="C4:C29" si="0">B4/1.1</f>
        <v>26899.999999999996</v>
      </c>
      <c r="D4" s="9">
        <f t="shared" ref="D4:D29" si="1">C4*0.1</f>
        <v>2690</v>
      </c>
      <c r="E4" s="11">
        <f>6200+1200+8125</f>
        <v>15525</v>
      </c>
      <c r="F4" s="9">
        <f t="shared" ref="F4:F29" si="2">E4/1.2</f>
        <v>12937.5</v>
      </c>
      <c r="G4" s="9">
        <f t="shared" ref="G4:G29" si="3">F4*0.2</f>
        <v>2587.5</v>
      </c>
      <c r="H4" s="11">
        <f>425+270</f>
        <v>695</v>
      </c>
      <c r="I4" s="9">
        <f t="shared" ref="I4:I29" si="4">H4/1.1</f>
        <v>631.81818181818176</v>
      </c>
      <c r="J4" s="9">
        <f t="shared" ref="J4:J29" si="5">I4*0.1</f>
        <v>63.18181818181818</v>
      </c>
      <c r="K4" s="11">
        <f>3750+2020+400+3200</f>
        <v>9370</v>
      </c>
      <c r="L4" s="9">
        <f t="shared" ref="L4:L29" si="6">K4/1.2</f>
        <v>7808.3333333333339</v>
      </c>
      <c r="M4" s="9">
        <f t="shared" ref="M4:M29" si="7">L4*0.2</f>
        <v>1561.666666666667</v>
      </c>
      <c r="N4" s="11">
        <v>1650</v>
      </c>
      <c r="O4" s="9">
        <f t="shared" ref="O4:O29" si="8">N4/1.2</f>
        <v>1375</v>
      </c>
      <c r="P4" s="9">
        <f t="shared" ref="P4:P29" si="9">O4*0.2</f>
        <v>275</v>
      </c>
      <c r="Q4" s="9">
        <f>0</f>
        <v>0</v>
      </c>
      <c r="R4" s="11">
        <f>4045+10400+42385</f>
        <v>56830</v>
      </c>
      <c r="S4" s="9">
        <v>0</v>
      </c>
      <c r="T4" s="9">
        <v>0</v>
      </c>
      <c r="U4" s="17">
        <f>12045+32055</f>
        <v>44100</v>
      </c>
      <c r="V4" s="18" t="s">
        <v>54</v>
      </c>
    </row>
    <row r="5" spans="1:22" x14ac:dyDescent="0.3">
      <c r="A5" s="8">
        <v>45841</v>
      </c>
      <c r="B5" s="11">
        <f>3685+59615</f>
        <v>63300</v>
      </c>
      <c r="C5" s="9">
        <f t="shared" si="0"/>
        <v>57545.454545454544</v>
      </c>
      <c r="D5" s="9">
        <f t="shared" si="1"/>
        <v>5754.545454545455</v>
      </c>
      <c r="E5" s="11">
        <f>1200+8050+20125</f>
        <v>29375</v>
      </c>
      <c r="F5" s="9">
        <f t="shared" si="2"/>
        <v>24479.166666666668</v>
      </c>
      <c r="G5" s="9">
        <f t="shared" si="3"/>
        <v>4895.8333333333339</v>
      </c>
      <c r="H5" s="11">
        <f>200+645+3460</f>
        <v>4305</v>
      </c>
      <c r="I5" s="9">
        <f t="shared" si="4"/>
        <v>3913.6363636363635</v>
      </c>
      <c r="J5" s="9">
        <f t="shared" si="5"/>
        <v>391.36363636363637</v>
      </c>
      <c r="K5" s="11">
        <f>400+2600+10400</f>
        <v>13400</v>
      </c>
      <c r="L5" s="9">
        <f t="shared" si="6"/>
        <v>11166.666666666668</v>
      </c>
      <c r="M5" s="9">
        <f t="shared" si="7"/>
        <v>2233.3333333333335</v>
      </c>
      <c r="N5" s="11">
        <v>1500</v>
      </c>
      <c r="O5" s="9">
        <f t="shared" si="8"/>
        <v>1250</v>
      </c>
      <c r="P5" s="9">
        <f t="shared" si="9"/>
        <v>250</v>
      </c>
      <c r="Q5" s="11">
        <f>2550</f>
        <v>2550</v>
      </c>
      <c r="R5" s="11">
        <f>11295+92550</f>
        <v>103845</v>
      </c>
      <c r="S5" s="11">
        <v>5485</v>
      </c>
      <c r="T5" s="9">
        <v>0</v>
      </c>
      <c r="U5" s="14">
        <v>0</v>
      </c>
      <c r="V5" s="3"/>
    </row>
    <row r="6" spans="1:22" x14ac:dyDescent="0.3">
      <c r="A6" s="8">
        <v>45842</v>
      </c>
      <c r="B6" s="11">
        <f>6095+25525</f>
        <v>31620</v>
      </c>
      <c r="C6" s="9">
        <f t="shared" si="0"/>
        <v>28745.454545454544</v>
      </c>
      <c r="D6" s="9">
        <f t="shared" si="1"/>
        <v>2874.5454545454545</v>
      </c>
      <c r="E6" s="11">
        <f>1200+2400+9415</f>
        <v>13015</v>
      </c>
      <c r="F6" s="9">
        <f t="shared" si="2"/>
        <v>10845.833333333334</v>
      </c>
      <c r="G6" s="9">
        <f t="shared" si="3"/>
        <v>2169.166666666667</v>
      </c>
      <c r="H6" s="11">
        <f>425+2820</f>
        <v>3245</v>
      </c>
      <c r="I6" s="9">
        <f t="shared" si="4"/>
        <v>2949.9999999999995</v>
      </c>
      <c r="J6" s="9">
        <f t="shared" si="5"/>
        <v>294.99999999999994</v>
      </c>
      <c r="K6" s="11">
        <f>600+400+4400</f>
        <v>5400</v>
      </c>
      <c r="L6" s="9">
        <f t="shared" si="6"/>
        <v>4500</v>
      </c>
      <c r="M6" s="9">
        <f t="shared" si="7"/>
        <v>900</v>
      </c>
      <c r="N6" s="9">
        <v>0</v>
      </c>
      <c r="O6" s="9">
        <f t="shared" si="8"/>
        <v>0</v>
      </c>
      <c r="P6" s="9">
        <f t="shared" si="9"/>
        <v>0</v>
      </c>
      <c r="Q6" s="9">
        <f>0</f>
        <v>0</v>
      </c>
      <c r="R6" s="11">
        <f>2225+8895+42160-625</f>
        <v>52655</v>
      </c>
      <c r="S6" s="11">
        <v>625</v>
      </c>
      <c r="T6" s="9">
        <v>0</v>
      </c>
      <c r="U6" s="17">
        <f>20040+10240+9500</f>
        <v>39780</v>
      </c>
      <c r="V6" s="3"/>
    </row>
    <row r="7" spans="1:22" x14ac:dyDescent="0.3">
      <c r="A7" s="8">
        <v>45843</v>
      </c>
      <c r="B7" s="11">
        <f>4200+13090+44450</f>
        <v>61740</v>
      </c>
      <c r="C7" s="9">
        <f t="shared" si="0"/>
        <v>56127.272727272721</v>
      </c>
      <c r="D7" s="9">
        <f t="shared" si="1"/>
        <v>5612.7272727272721</v>
      </c>
      <c r="E7" s="11">
        <f>6650+29985+15960</f>
        <v>52595</v>
      </c>
      <c r="F7" s="9">
        <f t="shared" si="2"/>
        <v>43829.166666666672</v>
      </c>
      <c r="G7" s="9">
        <f t="shared" si="3"/>
        <v>8765.8333333333339</v>
      </c>
      <c r="H7" s="11">
        <f>160+465+1930</f>
        <v>2555</v>
      </c>
      <c r="I7" s="9">
        <f t="shared" si="4"/>
        <v>2322.7272727272725</v>
      </c>
      <c r="J7" s="9">
        <f t="shared" si="5"/>
        <v>232.27272727272725</v>
      </c>
      <c r="K7" s="11">
        <f>1400+6000+5200</f>
        <v>12600</v>
      </c>
      <c r="L7" s="9">
        <f t="shared" si="6"/>
        <v>10500</v>
      </c>
      <c r="M7" s="9">
        <f t="shared" si="7"/>
        <v>2100</v>
      </c>
      <c r="N7" s="11">
        <f>720+875+1350</f>
        <v>2945</v>
      </c>
      <c r="O7" s="9">
        <f t="shared" si="8"/>
        <v>2454.166666666667</v>
      </c>
      <c r="P7" s="9">
        <f t="shared" si="9"/>
        <v>490.83333333333343</v>
      </c>
      <c r="Q7" s="9">
        <f>0</f>
        <v>0</v>
      </c>
      <c r="R7" s="11">
        <f>13130-2500+50415+68890</f>
        <v>129935</v>
      </c>
      <c r="S7" s="11">
        <f>2500</f>
        <v>2500</v>
      </c>
      <c r="T7" s="11">
        <v>1800</v>
      </c>
      <c r="U7" s="17">
        <f>12090+3600+15675+33850+33550</f>
        <v>98765</v>
      </c>
      <c r="V7" s="3"/>
    </row>
    <row r="8" spans="1:22" x14ac:dyDescent="0.3">
      <c r="A8" s="8">
        <v>45844</v>
      </c>
      <c r="B8" s="11">
        <f>2495+53025</f>
        <v>55520</v>
      </c>
      <c r="C8" s="9">
        <f t="shared" si="0"/>
        <v>50472.727272727272</v>
      </c>
      <c r="D8" s="9">
        <f t="shared" si="1"/>
        <v>5047.2727272727279</v>
      </c>
      <c r="E8" s="11">
        <f>6650+13675+1975</f>
        <v>22300</v>
      </c>
      <c r="F8" s="9">
        <f t="shared" si="2"/>
        <v>18583.333333333336</v>
      </c>
      <c r="G8" s="9">
        <f t="shared" si="3"/>
        <v>3716.6666666666674</v>
      </c>
      <c r="H8" s="11">
        <f>2375</f>
        <v>2375</v>
      </c>
      <c r="I8" s="9">
        <f t="shared" si="4"/>
        <v>2159.090909090909</v>
      </c>
      <c r="J8" s="9">
        <f t="shared" si="5"/>
        <v>215.90909090909091</v>
      </c>
      <c r="K8" s="11">
        <f>1800+400+5200</f>
        <v>7400</v>
      </c>
      <c r="L8" s="9">
        <f t="shared" si="6"/>
        <v>6166.666666666667</v>
      </c>
      <c r="M8" s="9">
        <f t="shared" si="7"/>
        <v>1233.3333333333335</v>
      </c>
      <c r="N8" s="9">
        <v>0</v>
      </c>
      <c r="O8" s="9">
        <f t="shared" si="8"/>
        <v>0</v>
      </c>
      <c r="P8" s="9">
        <f t="shared" si="9"/>
        <v>0</v>
      </c>
      <c r="Q8" s="9">
        <v>0</v>
      </c>
      <c r="R8" s="11">
        <f>8450+4870+74275</f>
        <v>87595</v>
      </c>
      <c r="S8" s="9">
        <v>0</v>
      </c>
      <c r="T8" s="9">
        <v>0</v>
      </c>
      <c r="U8" s="17">
        <f>68915</f>
        <v>68915</v>
      </c>
      <c r="V8" s="3"/>
    </row>
    <row r="9" spans="1:22" x14ac:dyDescent="0.3">
      <c r="A9" s="8">
        <v>45846</v>
      </c>
      <c r="B9" s="11">
        <f>12140+17910+7640</f>
        <v>37690</v>
      </c>
      <c r="C9" s="9">
        <f t="shared" si="0"/>
        <v>34263.63636363636</v>
      </c>
      <c r="D9" s="9">
        <f t="shared" si="1"/>
        <v>3426.363636363636</v>
      </c>
      <c r="E9" s="11">
        <f>1190+5590+7860</f>
        <v>14640</v>
      </c>
      <c r="F9" s="9">
        <f t="shared" si="2"/>
        <v>12200</v>
      </c>
      <c r="G9" s="9">
        <f t="shared" si="3"/>
        <v>2440</v>
      </c>
      <c r="H9" s="11">
        <f>465+1660</f>
        <v>2125</v>
      </c>
      <c r="I9" s="9">
        <f t="shared" si="4"/>
        <v>1931.8181818181818</v>
      </c>
      <c r="J9" s="9">
        <f t="shared" si="5"/>
        <v>193.18181818181819</v>
      </c>
      <c r="K9" s="11">
        <f>1200+2800+1400</f>
        <v>5400</v>
      </c>
      <c r="L9" s="9">
        <f t="shared" si="6"/>
        <v>4500</v>
      </c>
      <c r="M9" s="9">
        <f t="shared" si="7"/>
        <v>900</v>
      </c>
      <c r="N9" s="11">
        <v>800</v>
      </c>
      <c r="O9" s="9">
        <f t="shared" si="8"/>
        <v>666.66666666666674</v>
      </c>
      <c r="P9" s="9">
        <f t="shared" si="9"/>
        <v>133.33333333333334</v>
      </c>
      <c r="Q9" s="11">
        <f>2000</f>
        <v>2000</v>
      </c>
      <c r="R9" s="11">
        <f>14995+27960-6000+15700</f>
        <v>52655</v>
      </c>
      <c r="S9" s="11">
        <v>6000</v>
      </c>
      <c r="T9" s="11">
        <v>350</v>
      </c>
      <c r="U9" s="17">
        <f>38480+95+11000+11725</f>
        <v>61300</v>
      </c>
      <c r="V9" s="3"/>
    </row>
    <row r="10" spans="1:22" x14ac:dyDescent="0.3">
      <c r="A10" s="8">
        <v>45847</v>
      </c>
      <c r="B10" s="11">
        <f>8100+36320</f>
        <v>44420</v>
      </c>
      <c r="C10" s="9">
        <f t="shared" si="0"/>
        <v>40381.818181818177</v>
      </c>
      <c r="D10" s="9">
        <f t="shared" si="1"/>
        <v>4038.181818181818</v>
      </c>
      <c r="E10" s="11">
        <f>3650+4150+11130</f>
        <v>18930</v>
      </c>
      <c r="F10" s="9">
        <f t="shared" si="2"/>
        <v>15775</v>
      </c>
      <c r="G10" s="9">
        <f t="shared" si="3"/>
        <v>3155</v>
      </c>
      <c r="H10" s="11">
        <f>305+1715</f>
        <v>2020</v>
      </c>
      <c r="I10" s="9">
        <f t="shared" si="4"/>
        <v>1836.3636363636363</v>
      </c>
      <c r="J10" s="9">
        <f t="shared" si="5"/>
        <v>183.63636363636363</v>
      </c>
      <c r="K10" s="11">
        <f>1200+1200+4800</f>
        <v>7200</v>
      </c>
      <c r="L10" s="9">
        <f t="shared" si="6"/>
        <v>6000</v>
      </c>
      <c r="M10" s="9">
        <f t="shared" si="7"/>
        <v>1200</v>
      </c>
      <c r="N10" s="11">
        <v>500</v>
      </c>
      <c r="O10" s="9">
        <f t="shared" si="8"/>
        <v>416.66666666666669</v>
      </c>
      <c r="P10" s="9">
        <f t="shared" si="9"/>
        <v>83.333333333333343</v>
      </c>
      <c r="Q10" s="11">
        <f>1600+4065</f>
        <v>5665</v>
      </c>
      <c r="R10" s="11">
        <f>3250+11805+50400</f>
        <v>65455</v>
      </c>
      <c r="S10" s="11">
        <v>1950</v>
      </c>
      <c r="T10" s="9">
        <v>0</v>
      </c>
      <c r="U10" s="17">
        <v>82575</v>
      </c>
      <c r="V10" s="3"/>
    </row>
    <row r="11" spans="1:22" x14ac:dyDescent="0.3">
      <c r="A11" s="8">
        <v>45848</v>
      </c>
      <c r="B11" s="11">
        <f>12705+15205</f>
        <v>27910</v>
      </c>
      <c r="C11" s="9">
        <f t="shared" si="0"/>
        <v>25372.727272727272</v>
      </c>
      <c r="D11" s="9">
        <f t="shared" si="1"/>
        <v>2537.2727272727275</v>
      </c>
      <c r="E11" s="11">
        <f>2200+7200+1800</f>
        <v>11200</v>
      </c>
      <c r="F11" s="9">
        <f t="shared" si="2"/>
        <v>9333.3333333333339</v>
      </c>
      <c r="G11" s="9">
        <f t="shared" si="3"/>
        <v>1866.666666666667</v>
      </c>
      <c r="H11" s="11">
        <f>1220+1035+1275</f>
        <v>3530</v>
      </c>
      <c r="I11" s="9">
        <f t="shared" si="4"/>
        <v>3209.090909090909</v>
      </c>
      <c r="J11" s="9">
        <f t="shared" si="5"/>
        <v>320.90909090909093</v>
      </c>
      <c r="K11" s="11">
        <f>1700+2800+1000</f>
        <v>5500</v>
      </c>
      <c r="L11" s="9">
        <f t="shared" si="6"/>
        <v>4583.3333333333339</v>
      </c>
      <c r="M11" s="9">
        <f t="shared" si="7"/>
        <v>916.66666666666686</v>
      </c>
      <c r="N11" s="11">
        <v>830</v>
      </c>
      <c r="O11" s="9">
        <f t="shared" si="8"/>
        <v>691.66666666666674</v>
      </c>
      <c r="P11" s="9">
        <f t="shared" si="9"/>
        <v>138.33333333333334</v>
      </c>
      <c r="Q11" s="11">
        <f>10165</f>
        <v>10165</v>
      </c>
      <c r="R11" s="11">
        <f>17825+16905+4075</f>
        <v>38805</v>
      </c>
      <c r="S11" s="9">
        <v>0</v>
      </c>
      <c r="T11" s="9">
        <v>0</v>
      </c>
      <c r="U11" s="14">
        <v>0</v>
      </c>
      <c r="V11" s="3"/>
    </row>
    <row r="12" spans="1:22" x14ac:dyDescent="0.3">
      <c r="A12" s="8">
        <v>45849</v>
      </c>
      <c r="B12" s="11">
        <f>12350+45875+250</f>
        <v>58475</v>
      </c>
      <c r="C12" s="9">
        <f t="shared" si="0"/>
        <v>53159.090909090904</v>
      </c>
      <c r="D12" s="9">
        <f t="shared" si="1"/>
        <v>5315.909090909091</v>
      </c>
      <c r="E12" s="11">
        <f>7250+9655+5500</f>
        <v>22405</v>
      </c>
      <c r="F12" s="9">
        <f t="shared" si="2"/>
        <v>18670.833333333336</v>
      </c>
      <c r="G12" s="9">
        <f t="shared" si="3"/>
        <v>3734.1666666666674</v>
      </c>
      <c r="H12" s="11">
        <f>1800+1185+1700</f>
        <v>4685</v>
      </c>
      <c r="I12" s="9">
        <f t="shared" si="4"/>
        <v>4259.090909090909</v>
      </c>
      <c r="J12" s="9">
        <f t="shared" si="5"/>
        <v>425.90909090909093</v>
      </c>
      <c r="K12" s="11">
        <f>1800+4600+2400</f>
        <v>8800</v>
      </c>
      <c r="L12" s="9">
        <f t="shared" si="6"/>
        <v>7333.3333333333339</v>
      </c>
      <c r="M12" s="9">
        <f t="shared" si="7"/>
        <v>1466.666666666667</v>
      </c>
      <c r="N12" s="11">
        <f>2200+5671.5+1110+1250</f>
        <v>10231.5</v>
      </c>
      <c r="O12" s="9">
        <f t="shared" si="8"/>
        <v>8526.25</v>
      </c>
      <c r="P12" s="9">
        <f t="shared" si="9"/>
        <v>1705.25</v>
      </c>
      <c r="Q12" s="11">
        <f>1670+5047.5+1815</f>
        <v>8532.5</v>
      </c>
      <c r="R12" s="11">
        <f>23730-8611.5+61939+10395</f>
        <v>87452.5</v>
      </c>
      <c r="S12" s="11">
        <v>8611.5</v>
      </c>
      <c r="T12" s="9">
        <v>0</v>
      </c>
      <c r="U12" s="17">
        <f>42472.5+16775</f>
        <v>59247.5</v>
      </c>
      <c r="V12" s="3"/>
    </row>
    <row r="13" spans="1:22" x14ac:dyDescent="0.3">
      <c r="A13" s="8">
        <v>45850</v>
      </c>
      <c r="B13" s="11">
        <f>60545+5925</f>
        <v>66470</v>
      </c>
      <c r="C13" s="9">
        <f t="shared" si="0"/>
        <v>60427.272727272721</v>
      </c>
      <c r="D13" s="9">
        <f t="shared" si="1"/>
        <v>6042.7272727272721</v>
      </c>
      <c r="E13" s="11">
        <f>11740+7400+6500</f>
        <v>25640</v>
      </c>
      <c r="F13" s="9">
        <f t="shared" si="2"/>
        <v>21366.666666666668</v>
      </c>
      <c r="G13" s="9">
        <f t="shared" si="3"/>
        <v>4273.3333333333339</v>
      </c>
      <c r="H13" s="11">
        <f>6030+1455</f>
        <v>7485</v>
      </c>
      <c r="I13" s="9">
        <f t="shared" si="4"/>
        <v>6804.545454545454</v>
      </c>
      <c r="J13" s="9">
        <f t="shared" si="5"/>
        <v>680.4545454545455</v>
      </c>
      <c r="K13" s="11">
        <f>7800+1400+2000</f>
        <v>11200</v>
      </c>
      <c r="L13" s="9">
        <f t="shared" si="6"/>
        <v>9333.3333333333339</v>
      </c>
      <c r="M13" s="9">
        <f t="shared" si="7"/>
        <v>1866.666666666667</v>
      </c>
      <c r="N13" s="11">
        <f>7886.5+880+1528</f>
        <v>10294.5</v>
      </c>
      <c r="O13" s="9">
        <f t="shared" si="8"/>
        <v>8578.75</v>
      </c>
      <c r="P13" s="9">
        <f t="shared" si="9"/>
        <v>1715.75</v>
      </c>
      <c r="Q13" s="11">
        <f>3865</f>
        <v>3865</v>
      </c>
      <c r="R13" s="11">
        <f>90136.5+9680+17408</f>
        <v>117224.5</v>
      </c>
      <c r="S13" s="9">
        <v>0</v>
      </c>
      <c r="T13" s="11">
        <v>1800</v>
      </c>
      <c r="U13" s="17">
        <f>25821.5+19800</f>
        <v>45621.5</v>
      </c>
      <c r="V13" s="3"/>
    </row>
    <row r="14" spans="1:22" x14ac:dyDescent="0.3">
      <c r="A14" s="8">
        <v>45851</v>
      </c>
      <c r="B14" s="11">
        <f>5000+48690+3125</f>
        <v>56815</v>
      </c>
      <c r="C14" s="9">
        <f t="shared" si="0"/>
        <v>51649.999999999993</v>
      </c>
      <c r="D14" s="9">
        <f t="shared" si="1"/>
        <v>5165</v>
      </c>
      <c r="E14" s="11">
        <f>13250+2850+13205</f>
        <v>29305</v>
      </c>
      <c r="F14" s="9">
        <f t="shared" si="2"/>
        <v>24420.833333333336</v>
      </c>
      <c r="G14" s="9">
        <f t="shared" si="3"/>
        <v>4884.166666666667</v>
      </c>
      <c r="H14" s="11">
        <f>1925+1285</f>
        <v>3210</v>
      </c>
      <c r="I14" s="9">
        <f t="shared" si="4"/>
        <v>2918.181818181818</v>
      </c>
      <c r="J14" s="9">
        <f t="shared" si="5"/>
        <v>291.81818181818181</v>
      </c>
      <c r="K14" s="11">
        <f>4800+400+4900</f>
        <v>10100</v>
      </c>
      <c r="L14" s="9">
        <f t="shared" si="6"/>
        <v>8416.6666666666679</v>
      </c>
      <c r="M14" s="9">
        <f t="shared" si="7"/>
        <v>1683.3333333333337</v>
      </c>
      <c r="N14" s="11">
        <f>2270+785+4500.5+500</f>
        <v>8055.5</v>
      </c>
      <c r="O14" s="9">
        <f t="shared" si="8"/>
        <v>6712.916666666667</v>
      </c>
      <c r="P14" s="9">
        <f t="shared" si="9"/>
        <v>1342.5833333333335</v>
      </c>
      <c r="Q14" s="11">
        <f>5227.5+3601</f>
        <v>8828.5</v>
      </c>
      <c r="R14" s="11">
        <f>20142.5+5493+69479.5</f>
        <v>95115</v>
      </c>
      <c r="S14" s="11">
        <v>3542</v>
      </c>
      <c r="T14" s="11">
        <v>40</v>
      </c>
      <c r="U14" s="17">
        <f>10642+19687.5</f>
        <v>30329.5</v>
      </c>
      <c r="V14" s="3"/>
    </row>
    <row r="15" spans="1:22" x14ac:dyDescent="0.3">
      <c r="A15" s="8">
        <v>45853</v>
      </c>
      <c r="B15" s="11">
        <f>2064.9+1375+43340</f>
        <v>46779.9</v>
      </c>
      <c r="C15" s="9">
        <f t="shared" si="0"/>
        <v>42527.181818181816</v>
      </c>
      <c r="D15" s="9">
        <f t="shared" si="1"/>
        <v>4252.7181818181816</v>
      </c>
      <c r="E15" s="11">
        <f>1557.52+2450+2905+11660</f>
        <v>18572.52</v>
      </c>
      <c r="F15" s="9">
        <f t="shared" si="2"/>
        <v>15477.1</v>
      </c>
      <c r="G15" s="9">
        <f t="shared" si="3"/>
        <v>3095.42</v>
      </c>
      <c r="H15" s="11">
        <f>75+1415</f>
        <v>1490</v>
      </c>
      <c r="I15" s="9">
        <f t="shared" si="4"/>
        <v>1354.5454545454545</v>
      </c>
      <c r="J15" s="9">
        <f t="shared" si="5"/>
        <v>135.45454545454547</v>
      </c>
      <c r="K15" s="11">
        <f>377.58+800+400+5100</f>
        <v>6677.58</v>
      </c>
      <c r="L15" s="9">
        <f t="shared" si="6"/>
        <v>5564.6500000000005</v>
      </c>
      <c r="M15" s="9">
        <f t="shared" si="7"/>
        <v>1112.93</v>
      </c>
      <c r="N15" s="11">
        <f>325+435.5+5691.5</f>
        <v>6452</v>
      </c>
      <c r="O15" s="9">
        <f t="shared" si="8"/>
        <v>5376.666666666667</v>
      </c>
      <c r="P15" s="9">
        <f t="shared" si="9"/>
        <v>1075.3333333333335</v>
      </c>
      <c r="Q15" s="9">
        <f>0</f>
        <v>0</v>
      </c>
      <c r="R15" s="11">
        <f>4000+3575+5190.5+67206.5</f>
        <v>79972</v>
      </c>
      <c r="S15" s="9">
        <v>0</v>
      </c>
      <c r="T15" s="9">
        <v>0</v>
      </c>
      <c r="U15" s="17">
        <v>36747.5</v>
      </c>
      <c r="V15" s="3"/>
    </row>
    <row r="16" spans="1:22" x14ac:dyDescent="0.3">
      <c r="A16" s="8">
        <v>45854</v>
      </c>
      <c r="B16" s="11">
        <f>800+29275</f>
        <v>30075</v>
      </c>
      <c r="C16" s="9">
        <f t="shared" si="0"/>
        <v>27340.909090909088</v>
      </c>
      <c r="D16" s="9">
        <f t="shared" si="1"/>
        <v>2734.090909090909</v>
      </c>
      <c r="E16" s="11">
        <f>600+7300+5945</f>
        <v>13845</v>
      </c>
      <c r="F16" s="9">
        <f t="shared" si="2"/>
        <v>11537.5</v>
      </c>
      <c r="G16" s="9">
        <f t="shared" si="3"/>
        <v>2307.5</v>
      </c>
      <c r="H16" s="11">
        <f>1700+425+1120</f>
        <v>3245</v>
      </c>
      <c r="I16" s="9">
        <f t="shared" si="4"/>
        <v>2949.9999999999995</v>
      </c>
      <c r="J16" s="9">
        <f t="shared" si="5"/>
        <v>294.99999999999994</v>
      </c>
      <c r="K16" s="11">
        <f>800+1600+4300</f>
        <v>6700</v>
      </c>
      <c r="L16" s="9">
        <f t="shared" si="6"/>
        <v>5583.3333333333339</v>
      </c>
      <c r="M16" s="9">
        <f t="shared" si="7"/>
        <v>1116.6666666666667</v>
      </c>
      <c r="N16" s="11">
        <f>310+1012.5+3684</f>
        <v>5006.5</v>
      </c>
      <c r="O16" s="9">
        <f t="shared" si="8"/>
        <v>4172.0833333333339</v>
      </c>
      <c r="P16" s="9">
        <f t="shared" si="9"/>
        <v>834.41666666666686</v>
      </c>
      <c r="Q16" s="9">
        <v>0</v>
      </c>
      <c r="R16" s="11">
        <f>1842.5+11137.5+44324</f>
        <v>57304</v>
      </c>
      <c r="S16" s="11">
        <v>1567.5</v>
      </c>
      <c r="T16" s="9">
        <v>0</v>
      </c>
      <c r="U16" s="17">
        <f>10665</f>
        <v>10665</v>
      </c>
      <c r="V16" s="3"/>
    </row>
    <row r="17" spans="1:22" x14ac:dyDescent="0.3">
      <c r="A17" s="8">
        <v>45855</v>
      </c>
      <c r="B17" s="11">
        <f>550+3450+36170</f>
        <v>40170</v>
      </c>
      <c r="C17" s="9">
        <f t="shared" si="0"/>
        <v>36518.181818181816</v>
      </c>
      <c r="D17" s="9">
        <f t="shared" si="1"/>
        <v>3651.818181818182</v>
      </c>
      <c r="E17" s="11">
        <f>4200+3600+13275</f>
        <v>21075</v>
      </c>
      <c r="F17" s="9">
        <f t="shared" si="2"/>
        <v>17562.5</v>
      </c>
      <c r="G17" s="9">
        <f t="shared" si="3"/>
        <v>3512.5</v>
      </c>
      <c r="H17" s="11">
        <f>425+875+400</f>
        <v>1700</v>
      </c>
      <c r="I17" s="9">
        <f t="shared" si="4"/>
        <v>1545.4545454545453</v>
      </c>
      <c r="J17" s="9">
        <f t="shared" si="5"/>
        <v>154.54545454545453</v>
      </c>
      <c r="K17" s="11">
        <f>1600+1400+3600</f>
        <v>6600</v>
      </c>
      <c r="L17" s="9">
        <f t="shared" si="6"/>
        <v>5500</v>
      </c>
      <c r="M17" s="9">
        <f t="shared" si="7"/>
        <v>1100</v>
      </c>
      <c r="N17" s="11">
        <f>677.5+892.5+4984.5</f>
        <v>6554.5</v>
      </c>
      <c r="O17" s="9">
        <f t="shared" si="8"/>
        <v>5462.0833333333339</v>
      </c>
      <c r="P17" s="9">
        <f t="shared" si="9"/>
        <v>1092.4166666666667</v>
      </c>
      <c r="Q17" s="11">
        <f>3052.5+4067.5</f>
        <v>7120</v>
      </c>
      <c r="R17" s="11">
        <f>4400+6150+58429.5</f>
        <v>68979.5</v>
      </c>
      <c r="S17" s="9">
        <v>0</v>
      </c>
      <c r="T17" s="9">
        <v>0</v>
      </c>
      <c r="U17" s="14">
        <v>0</v>
      </c>
      <c r="V17" s="3"/>
    </row>
    <row r="18" spans="1:22" x14ac:dyDescent="0.3">
      <c r="A18" s="8">
        <v>45856</v>
      </c>
      <c r="B18" s="11">
        <f>2625+28925</f>
        <v>31550</v>
      </c>
      <c r="C18" s="9">
        <f t="shared" si="0"/>
        <v>28681.81818181818</v>
      </c>
      <c r="D18" s="9">
        <f t="shared" si="1"/>
        <v>2868.181818181818</v>
      </c>
      <c r="E18" s="11">
        <f>5510+5875+7320</f>
        <v>18705</v>
      </c>
      <c r="F18" s="9">
        <f t="shared" si="2"/>
        <v>15587.5</v>
      </c>
      <c r="G18" s="9">
        <f t="shared" si="3"/>
        <v>3117.5</v>
      </c>
      <c r="H18" s="11">
        <f>1860+1125</f>
        <v>2985</v>
      </c>
      <c r="I18" s="9">
        <f t="shared" si="4"/>
        <v>2713.6363636363635</v>
      </c>
      <c r="J18" s="9">
        <f t="shared" si="5"/>
        <v>271.36363636363637</v>
      </c>
      <c r="K18" s="11">
        <f>400+2000+3000</f>
        <v>5400</v>
      </c>
      <c r="L18" s="9">
        <f t="shared" si="6"/>
        <v>4500</v>
      </c>
      <c r="M18" s="9">
        <f t="shared" si="7"/>
        <v>900</v>
      </c>
      <c r="N18" s="11">
        <f>813.5+988.5+1800+2962</f>
        <v>6564</v>
      </c>
      <c r="O18" s="9">
        <f t="shared" si="8"/>
        <v>5470</v>
      </c>
      <c r="P18" s="9">
        <f t="shared" si="9"/>
        <v>1094</v>
      </c>
      <c r="Q18" s="11">
        <f>2022</f>
        <v>2022</v>
      </c>
      <c r="R18" s="11">
        <f>9348.5+9151.5+43332-9977.5</f>
        <v>51854.5</v>
      </c>
      <c r="S18" s="11">
        <f>9977.5+1350</f>
        <v>11327.5</v>
      </c>
      <c r="T18" s="9">
        <v>0</v>
      </c>
      <c r="U18" s="17">
        <f>34461+9977.5</f>
        <v>44438.5</v>
      </c>
      <c r="V18" s="3"/>
    </row>
    <row r="19" spans="1:22" x14ac:dyDescent="0.3">
      <c r="A19" s="8">
        <v>45857</v>
      </c>
      <c r="B19" s="11">
        <f>2295+48025</f>
        <v>50320</v>
      </c>
      <c r="C19" s="9">
        <f t="shared" si="0"/>
        <v>45745.454545454544</v>
      </c>
      <c r="D19" s="9">
        <f t="shared" si="1"/>
        <v>4574.545454545455</v>
      </c>
      <c r="E19" s="11">
        <f>4385+2900+8200+18625</f>
        <v>34110</v>
      </c>
      <c r="F19" s="9">
        <f t="shared" si="2"/>
        <v>28425</v>
      </c>
      <c r="G19" s="9">
        <f t="shared" si="3"/>
        <v>5685</v>
      </c>
      <c r="H19" s="11">
        <f>1150+300+1745</f>
        <v>3195</v>
      </c>
      <c r="I19" s="9">
        <f t="shared" si="4"/>
        <v>2904.5454545454545</v>
      </c>
      <c r="J19" s="9">
        <f t="shared" si="5"/>
        <v>290.45454545454544</v>
      </c>
      <c r="K19" s="11">
        <f>1200+1400+7500</f>
        <v>10100</v>
      </c>
      <c r="L19" s="9">
        <f t="shared" si="6"/>
        <v>8416.6666666666679</v>
      </c>
      <c r="M19" s="9">
        <f t="shared" si="7"/>
        <v>1683.3333333333337</v>
      </c>
      <c r="N19" s="11">
        <f>668+525+990+6487</f>
        <v>8670</v>
      </c>
      <c r="O19" s="9">
        <f t="shared" si="8"/>
        <v>7225</v>
      </c>
      <c r="P19" s="9">
        <f t="shared" si="9"/>
        <v>1445</v>
      </c>
      <c r="Q19" s="11">
        <f>1820</f>
        <v>1820</v>
      </c>
      <c r="R19" s="11">
        <f>7348+5775+7140+80562-8395</f>
        <v>92430</v>
      </c>
      <c r="S19" s="11">
        <f>12145</f>
        <v>12145</v>
      </c>
      <c r="T19" s="11">
        <f>1600+600</f>
        <v>2200</v>
      </c>
      <c r="U19" s="17">
        <f>30950+8395+48000+18885</f>
        <v>106230</v>
      </c>
      <c r="V19" s="3"/>
    </row>
    <row r="20" spans="1:22" x14ac:dyDescent="0.3">
      <c r="A20" s="8">
        <v>45858</v>
      </c>
      <c r="B20" s="11">
        <f>60020+550</f>
        <v>60570</v>
      </c>
      <c r="C20" s="9">
        <f t="shared" si="0"/>
        <v>55063.63636363636</v>
      </c>
      <c r="D20" s="9">
        <f t="shared" si="1"/>
        <v>5506.363636363636</v>
      </c>
      <c r="E20" s="11">
        <f>15010+1450</f>
        <v>16460</v>
      </c>
      <c r="F20" s="9">
        <f t="shared" si="2"/>
        <v>13716.666666666668</v>
      </c>
      <c r="G20" s="9">
        <f t="shared" si="3"/>
        <v>2743.3333333333339</v>
      </c>
      <c r="H20" s="11">
        <f>3450</f>
        <v>3450</v>
      </c>
      <c r="I20" s="9">
        <f t="shared" si="4"/>
        <v>3136.363636363636</v>
      </c>
      <c r="J20" s="9">
        <f t="shared" si="5"/>
        <v>313.63636363636363</v>
      </c>
      <c r="K20" s="11">
        <f>6400+400</f>
        <v>6800</v>
      </c>
      <c r="L20" s="9">
        <f t="shared" si="6"/>
        <v>5666.666666666667</v>
      </c>
      <c r="M20" s="9">
        <f t="shared" si="7"/>
        <v>1133.3333333333335</v>
      </c>
      <c r="N20" s="11">
        <f>7223+240</f>
        <v>7463</v>
      </c>
      <c r="O20" s="9">
        <f t="shared" si="8"/>
        <v>6219.166666666667</v>
      </c>
      <c r="P20" s="9">
        <f t="shared" si="9"/>
        <v>1243.8333333333335</v>
      </c>
      <c r="Q20" s="9">
        <f>0</f>
        <v>0</v>
      </c>
      <c r="R20" s="11">
        <f>92103</f>
        <v>92103</v>
      </c>
      <c r="S20" s="11">
        <v>2640</v>
      </c>
      <c r="T20" s="9">
        <v>0</v>
      </c>
      <c r="U20" s="17">
        <v>24250</v>
      </c>
      <c r="V20" s="3"/>
    </row>
    <row r="21" spans="1:22" x14ac:dyDescent="0.3">
      <c r="A21" s="8">
        <v>45860</v>
      </c>
      <c r="B21" s="11">
        <f>3745+26100</f>
        <v>29845</v>
      </c>
      <c r="C21" s="9">
        <f t="shared" si="0"/>
        <v>27131.81818181818</v>
      </c>
      <c r="D21" s="9">
        <f t="shared" si="1"/>
        <v>2713.181818181818</v>
      </c>
      <c r="E21" s="11">
        <f>2100+6850+6895</f>
        <v>15845</v>
      </c>
      <c r="F21" s="9">
        <f t="shared" si="2"/>
        <v>13204.166666666668</v>
      </c>
      <c r="G21" s="9">
        <f t="shared" si="3"/>
        <v>2640.8333333333339</v>
      </c>
      <c r="H21" s="11">
        <f>1110</f>
        <v>1110</v>
      </c>
      <c r="I21" s="9">
        <f t="shared" si="4"/>
        <v>1009.090909090909</v>
      </c>
      <c r="J21" s="9">
        <f t="shared" si="5"/>
        <v>100.90909090909091</v>
      </c>
      <c r="K21" s="11">
        <f>600+1600+2600</f>
        <v>4800</v>
      </c>
      <c r="L21" s="9">
        <f t="shared" si="6"/>
        <v>4000</v>
      </c>
      <c r="M21" s="9">
        <f t="shared" si="7"/>
        <v>800</v>
      </c>
      <c r="N21" s="11">
        <f>270+1179.5+3410.5</f>
        <v>4860</v>
      </c>
      <c r="O21" s="9">
        <f t="shared" si="8"/>
        <v>4050</v>
      </c>
      <c r="P21" s="9">
        <f t="shared" si="9"/>
        <v>810</v>
      </c>
      <c r="Q21" s="11">
        <f>4519.5</f>
        <v>4519.5</v>
      </c>
      <c r="R21" s="11">
        <f>2970+8855+40115.5-9301</f>
        <v>42639.5</v>
      </c>
      <c r="S21" s="11">
        <v>9301</v>
      </c>
      <c r="T21" s="11">
        <v>2007.5</v>
      </c>
      <c r="U21" s="17">
        <f>20900+2007.5+14372+10000</f>
        <v>47279.5</v>
      </c>
      <c r="V21" s="3"/>
    </row>
    <row r="22" spans="1:22" x14ac:dyDescent="0.3">
      <c r="A22" s="8">
        <v>45861</v>
      </c>
      <c r="B22" s="11">
        <f>26600+1375+4025</f>
        <v>32000</v>
      </c>
      <c r="C22" s="9">
        <f t="shared" si="0"/>
        <v>29090.909090909088</v>
      </c>
      <c r="D22" s="9">
        <f t="shared" si="1"/>
        <v>2909.090909090909</v>
      </c>
      <c r="E22" s="11">
        <f>3550+5670+2850+13000</f>
        <v>25070</v>
      </c>
      <c r="F22" s="9">
        <f t="shared" si="2"/>
        <v>20891.666666666668</v>
      </c>
      <c r="G22" s="9">
        <f t="shared" si="3"/>
        <v>4178.3333333333339</v>
      </c>
      <c r="H22" s="11">
        <f>845</f>
        <v>845</v>
      </c>
      <c r="I22" s="9">
        <f t="shared" si="4"/>
        <v>768.18181818181813</v>
      </c>
      <c r="J22" s="9">
        <f t="shared" si="5"/>
        <v>76.818181818181813</v>
      </c>
      <c r="K22" s="11">
        <f>1000+2400+400+400</f>
        <v>4200</v>
      </c>
      <c r="L22" s="9">
        <f t="shared" si="6"/>
        <v>3500</v>
      </c>
      <c r="M22" s="9">
        <f t="shared" si="7"/>
        <v>700</v>
      </c>
      <c r="N22" s="11">
        <f>455+3311.5+687.5+887.5+500</f>
        <v>5841.5</v>
      </c>
      <c r="O22" s="9">
        <f t="shared" si="8"/>
        <v>4867.916666666667</v>
      </c>
      <c r="P22" s="9">
        <f t="shared" si="9"/>
        <v>973.58333333333348</v>
      </c>
      <c r="Q22" s="9">
        <f>0</f>
        <v>0</v>
      </c>
      <c r="R22" s="11">
        <f>5005+38826.5+7962.5+16162.5</f>
        <v>67956.5</v>
      </c>
      <c r="S22" s="9">
        <v>0</v>
      </c>
      <c r="T22" s="9">
        <v>0</v>
      </c>
      <c r="U22" s="17">
        <v>29257.5</v>
      </c>
      <c r="V22" s="3"/>
    </row>
    <row r="23" spans="1:22" x14ac:dyDescent="0.3">
      <c r="A23" s="8">
        <v>45862</v>
      </c>
      <c r="B23" s="11">
        <f>6027.55+2825+525+2450+36250</f>
        <v>48077.55</v>
      </c>
      <c r="C23" s="9">
        <f>B23/1.1</f>
        <v>43706.863636363632</v>
      </c>
      <c r="D23" s="9">
        <f>C23*0.1</f>
        <v>4370.6863636363632</v>
      </c>
      <c r="E23" s="11">
        <f>5746.46+2100+4200+5890</f>
        <v>17936.46</v>
      </c>
      <c r="F23" s="9">
        <f t="shared" si="2"/>
        <v>14947.05</v>
      </c>
      <c r="G23" s="9">
        <f t="shared" si="3"/>
        <v>2989.41</v>
      </c>
      <c r="H23" s="11">
        <f>135+3480</f>
        <v>3615</v>
      </c>
      <c r="I23" s="9">
        <f t="shared" si="4"/>
        <v>3286.363636363636</v>
      </c>
      <c r="J23" s="9">
        <f t="shared" si="5"/>
        <v>328.63636363636363</v>
      </c>
      <c r="K23" s="11">
        <f>1355.99+400+400+1200+3600</f>
        <v>6955.99</v>
      </c>
      <c r="L23" s="9">
        <f t="shared" si="6"/>
        <v>5796.6583333333338</v>
      </c>
      <c r="M23" s="9">
        <f t="shared" si="7"/>
        <v>1159.3316666666667</v>
      </c>
      <c r="N23" s="11">
        <f>373+296+302.5+785+4562</f>
        <v>6318.5</v>
      </c>
      <c r="O23" s="9">
        <f t="shared" si="8"/>
        <v>5265.416666666667</v>
      </c>
      <c r="P23" s="9">
        <f t="shared" si="9"/>
        <v>1053.0833333333335</v>
      </c>
      <c r="Q23" s="11">
        <f>1080+600</f>
        <v>1680</v>
      </c>
      <c r="R23" s="11">
        <f>13503+3656+3327.5+8035+52702-7330</f>
        <v>73893.5</v>
      </c>
      <c r="S23" s="11">
        <v>7330</v>
      </c>
      <c r="T23" s="9">
        <v>0</v>
      </c>
      <c r="U23" s="17">
        <f>27920+10564.5+10707</f>
        <v>49191.5</v>
      </c>
      <c r="V23" s="3"/>
    </row>
    <row r="24" spans="1:22" x14ac:dyDescent="0.3">
      <c r="A24" s="8">
        <v>45863</v>
      </c>
      <c r="B24" s="11">
        <f>995+9475+27675+10550+9575</f>
        <v>58270</v>
      </c>
      <c r="C24" s="9">
        <f t="shared" si="0"/>
        <v>52972.727272727272</v>
      </c>
      <c r="D24" s="9">
        <f t="shared" si="1"/>
        <v>5297.2727272727279</v>
      </c>
      <c r="E24" s="11">
        <f>7100+2150+6680+5325+3015</f>
        <v>24270</v>
      </c>
      <c r="F24" s="9">
        <f t="shared" si="2"/>
        <v>20225</v>
      </c>
      <c r="G24" s="9">
        <f t="shared" si="3"/>
        <v>4045</v>
      </c>
      <c r="H24" s="11">
        <f>725+485+300</f>
        <v>1510</v>
      </c>
      <c r="I24" s="9">
        <f t="shared" si="4"/>
        <v>1372.7272727272725</v>
      </c>
      <c r="J24" s="9">
        <f t="shared" si="5"/>
        <v>137.27272727272725</v>
      </c>
      <c r="K24" s="11">
        <f>1400+1750+4700+1200+800</f>
        <v>9850</v>
      </c>
      <c r="L24" s="9">
        <f t="shared" si="6"/>
        <v>8208.3333333333339</v>
      </c>
      <c r="M24" s="9">
        <f t="shared" si="7"/>
        <v>1641.666666666667</v>
      </c>
      <c r="N24" s="11">
        <f>949.5+800+3634+1617.5+1259</f>
        <v>8260</v>
      </c>
      <c r="O24" s="9">
        <f t="shared" si="8"/>
        <v>6883.3333333333339</v>
      </c>
      <c r="P24" s="9">
        <f t="shared" si="9"/>
        <v>1376.666666666667</v>
      </c>
      <c r="Q24" s="9">
        <f>0</f>
        <v>0</v>
      </c>
      <c r="R24" s="11">
        <f>10444.5+14900+43174+18992.5+14649</f>
        <v>102160</v>
      </c>
      <c r="S24" s="9">
        <v>0</v>
      </c>
      <c r="T24" s="9">
        <v>0</v>
      </c>
      <c r="U24" s="17">
        <f>26661.5+12013</f>
        <v>38674.5</v>
      </c>
      <c r="V24" s="3"/>
    </row>
    <row r="25" spans="1:22" x14ac:dyDescent="0.3">
      <c r="A25" s="8">
        <v>45864</v>
      </c>
      <c r="B25" s="11">
        <f>2900+58007.21</f>
        <v>60907.21</v>
      </c>
      <c r="C25" s="9">
        <f t="shared" si="0"/>
        <v>55370.190909090903</v>
      </c>
      <c r="D25" s="9">
        <f t="shared" si="1"/>
        <v>5537.0190909090907</v>
      </c>
      <c r="E25" s="11">
        <f>6500+3500+17710.42</f>
        <v>27710.42</v>
      </c>
      <c r="F25" s="9">
        <f t="shared" si="2"/>
        <v>23092.016666666666</v>
      </c>
      <c r="G25" s="9">
        <f t="shared" si="3"/>
        <v>4618.4033333333336</v>
      </c>
      <c r="H25" s="11">
        <f>660+135+4265</f>
        <v>5060</v>
      </c>
      <c r="I25" s="9">
        <f t="shared" si="4"/>
        <v>4600</v>
      </c>
      <c r="J25" s="9">
        <f t="shared" si="5"/>
        <v>460</v>
      </c>
      <c r="K25" s="11">
        <f>1000+1200+9142.37</f>
        <v>11342.37</v>
      </c>
      <c r="L25" s="9">
        <f t="shared" si="6"/>
        <v>9451.9750000000004</v>
      </c>
      <c r="M25" s="9">
        <f t="shared" si="7"/>
        <v>1890.3950000000002</v>
      </c>
      <c r="N25" s="11">
        <f>1066+483.5+7692.5</f>
        <v>9242</v>
      </c>
      <c r="O25" s="9">
        <f t="shared" si="8"/>
        <v>7701.666666666667</v>
      </c>
      <c r="P25" s="9">
        <f t="shared" si="9"/>
        <v>1540.3333333333335</v>
      </c>
      <c r="Q25" s="11">
        <f>1402.5+6285.5</f>
        <v>7688</v>
      </c>
      <c r="R25" s="11">
        <f>10723.5+5318.5+90532</f>
        <v>106574</v>
      </c>
      <c r="S25" s="9">
        <v>0</v>
      </c>
      <c r="T25" s="11">
        <f>4600+440</f>
        <v>5040</v>
      </c>
      <c r="U25" s="17">
        <f>15731+26200+2850</f>
        <v>44781</v>
      </c>
      <c r="V25" s="3"/>
    </row>
    <row r="26" spans="1:22" x14ac:dyDescent="0.3">
      <c r="A26" s="8">
        <v>45865</v>
      </c>
      <c r="B26" s="11">
        <f>5700+3000+65075</f>
        <v>73775</v>
      </c>
      <c r="C26" s="9">
        <f t="shared" si="0"/>
        <v>67068.181818181809</v>
      </c>
      <c r="D26" s="9">
        <f t="shared" si="1"/>
        <v>6706.8181818181811</v>
      </c>
      <c r="E26" s="11">
        <f>2150+2200+2550+10640</f>
        <v>17540</v>
      </c>
      <c r="F26" s="9">
        <f t="shared" si="2"/>
        <v>14616.666666666668</v>
      </c>
      <c r="G26" s="9">
        <f t="shared" si="3"/>
        <v>2923.3333333333339</v>
      </c>
      <c r="H26" s="11">
        <f>3955</f>
        <v>3955</v>
      </c>
      <c r="I26" s="9">
        <f t="shared" si="4"/>
        <v>3595.454545454545</v>
      </c>
      <c r="J26" s="9">
        <f t="shared" si="5"/>
        <v>359.5454545454545</v>
      </c>
      <c r="K26" s="11">
        <f>400+800+5800</f>
        <v>7000</v>
      </c>
      <c r="L26" s="9">
        <f t="shared" si="6"/>
        <v>5833.3333333333339</v>
      </c>
      <c r="M26" s="9">
        <f t="shared" si="7"/>
        <v>1166.6666666666667</v>
      </c>
      <c r="N26" s="11">
        <f>255+790+555+7230</f>
        <v>8830</v>
      </c>
      <c r="O26" s="9">
        <f t="shared" si="8"/>
        <v>7358.3333333333339</v>
      </c>
      <c r="P26" s="9">
        <f t="shared" si="9"/>
        <v>1471.666666666667</v>
      </c>
      <c r="Q26" s="9">
        <f>0</f>
        <v>0</v>
      </c>
      <c r="R26" s="11">
        <f>8690+6905+92700-10965</f>
        <v>97330</v>
      </c>
      <c r="S26" s="11">
        <f>2805+10965</f>
        <v>13770</v>
      </c>
      <c r="T26" s="9">
        <v>0</v>
      </c>
      <c r="U26" s="17">
        <f>25258+23748.5</f>
        <v>49006.5</v>
      </c>
      <c r="V26" s="3"/>
    </row>
    <row r="27" spans="1:22" x14ac:dyDescent="0.3">
      <c r="A27" s="8">
        <v>45867</v>
      </c>
      <c r="B27" s="11">
        <f>17800+28675</f>
        <v>46475</v>
      </c>
      <c r="C27" s="9">
        <f t="shared" si="0"/>
        <v>42250</v>
      </c>
      <c r="D27" s="9">
        <f t="shared" si="1"/>
        <v>4225</v>
      </c>
      <c r="E27" s="11">
        <f>5900+2150+9360</f>
        <v>17410</v>
      </c>
      <c r="F27" s="9">
        <f t="shared" si="2"/>
        <v>14508.333333333334</v>
      </c>
      <c r="G27" s="9">
        <f t="shared" si="3"/>
        <v>2901.666666666667</v>
      </c>
      <c r="H27" s="11">
        <f>550</f>
        <v>550</v>
      </c>
      <c r="I27" s="9">
        <f t="shared" si="4"/>
        <v>499.99999999999994</v>
      </c>
      <c r="J27" s="9">
        <f t="shared" si="5"/>
        <v>50</v>
      </c>
      <c r="K27" s="11">
        <f>1200+600+3200</f>
        <v>5000</v>
      </c>
      <c r="L27" s="9">
        <f t="shared" si="6"/>
        <v>4166.666666666667</v>
      </c>
      <c r="M27" s="9">
        <f t="shared" si="7"/>
        <v>833.33333333333348</v>
      </c>
      <c r="N27" s="11">
        <f>2370+275+3799</f>
        <v>6444</v>
      </c>
      <c r="O27" s="9">
        <f t="shared" si="8"/>
        <v>5370</v>
      </c>
      <c r="P27" s="9">
        <f t="shared" si="9"/>
        <v>1074</v>
      </c>
      <c r="Q27" s="11">
        <f>6615</f>
        <v>6615</v>
      </c>
      <c r="R27" s="11">
        <f>27270+3025+38969</f>
        <v>69264</v>
      </c>
      <c r="S27" s="9">
        <v>0</v>
      </c>
      <c r="T27" s="9">
        <v>0</v>
      </c>
      <c r="U27" s="17">
        <f>29556.5+40582.5+30145</f>
        <v>100284</v>
      </c>
      <c r="V27" s="3"/>
    </row>
    <row r="28" spans="1:22" x14ac:dyDescent="0.3">
      <c r="A28" s="8">
        <v>45868</v>
      </c>
      <c r="B28" s="11">
        <f>995+2550+56055.18</f>
        <v>59600.18</v>
      </c>
      <c r="C28" s="9">
        <f t="shared" si="0"/>
        <v>54181.981818181812</v>
      </c>
      <c r="D28" s="9">
        <f t="shared" si="1"/>
        <v>5418.1981818181812</v>
      </c>
      <c r="E28" s="11">
        <f>5900+16762.76</f>
        <v>22662.76</v>
      </c>
      <c r="F28" s="9">
        <f t="shared" si="2"/>
        <v>18885.633333333331</v>
      </c>
      <c r="G28" s="9">
        <f t="shared" si="3"/>
        <v>3777.1266666666666</v>
      </c>
      <c r="H28" s="11">
        <f>335+865</f>
        <v>1200</v>
      </c>
      <c r="I28" s="9">
        <f t="shared" si="4"/>
        <v>1090.9090909090908</v>
      </c>
      <c r="J28" s="9">
        <f t="shared" si="5"/>
        <v>109.09090909090908</v>
      </c>
      <c r="K28" s="11">
        <f>1200+400+5955.77</f>
        <v>7555.77</v>
      </c>
      <c r="L28" s="9">
        <f t="shared" si="6"/>
        <v>6296.4750000000004</v>
      </c>
      <c r="M28" s="9">
        <f t="shared" si="7"/>
        <v>1259.2950000000001</v>
      </c>
      <c r="N28" s="11">
        <f>809.5+288.5+6843.29</f>
        <v>7941.29</v>
      </c>
      <c r="O28" s="9">
        <f t="shared" si="8"/>
        <v>6617.7416666666668</v>
      </c>
      <c r="P28" s="9">
        <f t="shared" si="9"/>
        <v>1323.5483333333334</v>
      </c>
      <c r="Q28" s="9">
        <f>0</f>
        <v>0</v>
      </c>
      <c r="R28" s="11">
        <f>8904.5+3573.5+86482-5000</f>
        <v>93960</v>
      </c>
      <c r="S28" s="11">
        <v>5000</v>
      </c>
      <c r="T28" s="9">
        <v>0</v>
      </c>
      <c r="U28" s="17">
        <f>22241.5+7500</f>
        <v>29741.5</v>
      </c>
      <c r="V28" s="3"/>
    </row>
    <row r="29" spans="1:22" x14ac:dyDescent="0.3">
      <c r="A29" s="8">
        <v>45869</v>
      </c>
      <c r="B29" s="11">
        <f>8770+11450</f>
        <v>20220</v>
      </c>
      <c r="C29" s="9">
        <f t="shared" si="0"/>
        <v>18381.81818181818</v>
      </c>
      <c r="D29" s="9">
        <f t="shared" si="1"/>
        <v>1838.181818181818</v>
      </c>
      <c r="E29" s="11">
        <f>2650+1150</f>
        <v>3800</v>
      </c>
      <c r="F29" s="9">
        <f t="shared" si="2"/>
        <v>3166.666666666667</v>
      </c>
      <c r="G29" s="9">
        <f t="shared" si="3"/>
        <v>633.33333333333348</v>
      </c>
      <c r="H29" s="11">
        <f>95+365</f>
        <v>460</v>
      </c>
      <c r="I29" s="9">
        <f t="shared" si="4"/>
        <v>418.18181818181813</v>
      </c>
      <c r="J29" s="9">
        <f t="shared" si="5"/>
        <v>41.818181818181813</v>
      </c>
      <c r="K29" s="11">
        <f>1200+1200</f>
        <v>2400</v>
      </c>
      <c r="L29" s="9">
        <f t="shared" si="6"/>
        <v>2000</v>
      </c>
      <c r="M29" s="9">
        <f t="shared" si="7"/>
        <v>400</v>
      </c>
      <c r="N29" s="11">
        <f>1151.5+1296.5</f>
        <v>2448</v>
      </c>
      <c r="O29" s="9">
        <f t="shared" si="8"/>
        <v>2040</v>
      </c>
      <c r="P29" s="9">
        <f t="shared" si="9"/>
        <v>408</v>
      </c>
      <c r="Q29" s="9">
        <v>0</v>
      </c>
      <c r="R29" s="11">
        <f>12194.5+15461.5</f>
        <v>27656</v>
      </c>
      <c r="S29" s="11">
        <v>1672</v>
      </c>
      <c r="T29" s="9">
        <v>0</v>
      </c>
      <c r="U29" s="17">
        <f>40619</f>
        <v>40619</v>
      </c>
      <c r="V29" s="3"/>
    </row>
    <row r="30" spans="1:22" x14ac:dyDescent="0.3">
      <c r="B30" s="6">
        <f>SUM(B3:B29)</f>
        <v>1269184.8400000001</v>
      </c>
      <c r="C30" s="10">
        <f>B30/1.1</f>
        <v>1153804.3999999999</v>
      </c>
      <c r="D30" s="10">
        <f t="shared" ref="D30" si="10">C30*10/100</f>
        <v>115380.44</v>
      </c>
      <c r="E30" s="6">
        <f>SUM(E3:E29)</f>
        <v>590467.16</v>
      </c>
      <c r="F30" s="10">
        <f t="shared" ref="F30" si="11">E30/1.2</f>
        <v>492055.96666666673</v>
      </c>
      <c r="G30" s="10">
        <f t="shared" ref="G30" si="12">F30*20/100</f>
        <v>98411.193333333344</v>
      </c>
      <c r="H30" s="6">
        <f>SUM(H3:H29)</f>
        <v>77295</v>
      </c>
      <c r="I30" s="10">
        <f t="shared" ref="I30" si="13">H30/1.1</f>
        <v>70268.181818181809</v>
      </c>
      <c r="J30" s="10">
        <f t="shared" ref="J30" si="14">I30*10/100</f>
        <v>7026.8181818181811</v>
      </c>
      <c r="K30" s="6">
        <f>SUM(K3:K29)</f>
        <v>209151.71</v>
      </c>
      <c r="L30" s="10">
        <f t="shared" ref="L30" si="15">K30/1.2</f>
        <v>174293.09166666667</v>
      </c>
      <c r="M30" s="10">
        <f t="shared" ref="M30" si="16">L30*20/100</f>
        <v>34858.618333333332</v>
      </c>
      <c r="N30" s="6">
        <f>SUM(N3:N29)</f>
        <v>138301.79</v>
      </c>
      <c r="O30" s="10">
        <f t="shared" ref="O30" si="17">N30/1.2</f>
        <v>115251.49166666668</v>
      </c>
      <c r="P30" s="10">
        <f t="shared" ref="P30" si="18">O30*20/100</f>
        <v>23050.298333333336</v>
      </c>
      <c r="Q30" s="6">
        <f>SUM(Q3:Q29)</f>
        <v>81325.5</v>
      </c>
      <c r="R30" s="6">
        <f>SUM(R3:R29)</f>
        <v>2107088.5</v>
      </c>
      <c r="S30" s="6"/>
      <c r="T30" s="6">
        <f>SUM(T3:T29)</f>
        <v>15802.5</v>
      </c>
      <c r="U30" s="6">
        <f>SUM(U3:U29)</f>
        <v>1245999.5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H32" s="5"/>
    </row>
    <row r="34" spans="19:19" x14ac:dyDescent="0.3">
      <c r="S34">
        <f>86345-81360</f>
        <v>4985</v>
      </c>
    </row>
  </sheetData>
  <mergeCells count="1">
    <mergeCell ref="T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14</vt:i4>
      </vt:variant>
    </vt:vector>
  </HeadingPairs>
  <TitlesOfParts>
    <vt:vector size="14" baseType="lpstr">
      <vt:lpstr>OCAK</vt:lpstr>
      <vt:lpstr>ŞUBAT</vt:lpstr>
      <vt:lpstr>MART</vt:lpstr>
      <vt:lpstr>NİSAN</vt:lpstr>
      <vt:lpstr>Sayfa1</vt:lpstr>
      <vt:lpstr>MAYIS</vt:lpstr>
      <vt:lpstr>HAZİRAN</vt:lpstr>
      <vt:lpstr>AĞUSTOS</vt:lpstr>
      <vt:lpstr>TEMMUZ</vt:lpstr>
      <vt:lpstr>EYLÜL</vt:lpstr>
      <vt:lpstr>EKİM</vt:lpstr>
      <vt:lpstr>KASIM</vt:lpstr>
      <vt:lpstr>ARALIK</vt:lpstr>
      <vt:lpstr>Sayfa2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2025-10-16T13:15:39Z</cp:lastPrinted>
  <dcterms:created xsi:type="dcterms:W3CDTF">2023-03-28T06:21:12Z</dcterms:created>
  <dcterms:modified xsi:type="dcterms:W3CDTF">2026-01-07T06:53:12Z</dcterms:modified>
  <cp:category/>
  <cp:contentStatus/>
</cp:coreProperties>
</file>